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erformance" sheetId="1" r:id="rId4"/>
    <sheet name="All Spinoffs" sheetId="2" r:id="rId5"/>
  </sheets>
</workbook>
</file>

<file path=xl/sharedStrings.xml><?xml version="1.0" encoding="utf-8"?>
<sst xmlns="http://schemas.openxmlformats.org/spreadsheetml/2006/main" uniqueCount="345">
  <si>
    <t>Spinoff &amp; Reorg Stock Recommendation Performance vs S&amp;P 500</t>
  </si>
  <si>
    <t>Holding period of 6 months from publication date</t>
  </si>
  <si>
    <t>Updated:</t>
  </si>
  <si>
    <t>Symbol</t>
  </si>
  <si>
    <t>Buy Date</t>
  </si>
  <si>
    <t>Buy Price</t>
  </si>
  <si>
    <t>S&amp;P</t>
  </si>
  <si>
    <t>Sell Date</t>
  </si>
  <si>
    <t>Price</t>
  </si>
  <si>
    <t>Dividends</t>
  </si>
  <si>
    <t>Total return</t>
  </si>
  <si>
    <t>Intermediate values</t>
  </si>
  <si>
    <t>Absolute</t>
  </si>
  <si>
    <t>S&amp;P-relative</t>
  </si>
  <si>
    <t>to calculate geomean</t>
  </si>
  <si>
    <t>LBTYA</t>
  </si>
  <si>
    <t>BBI</t>
  </si>
  <si>
    <t>HEP</t>
  </si>
  <si>
    <t>MGI</t>
  </si>
  <si>
    <t>NP</t>
  </si>
  <si>
    <t>NVL</t>
  </si>
  <si>
    <t>PSMTR</t>
  </si>
  <si>
    <t>OFLX</t>
  </si>
  <si>
    <t>ABKD.OB</t>
  </si>
  <si>
    <t>HXL</t>
  </si>
  <si>
    <t>DISCA</t>
  </si>
  <si>
    <t>MFW</t>
  </si>
  <si>
    <t>ESMC</t>
  </si>
  <si>
    <t>AEOS</t>
  </si>
  <si>
    <t>CBS</t>
  </si>
  <si>
    <t>FST</t>
  </si>
  <si>
    <t>FNF/FNT</t>
  </si>
  <si>
    <t>RSC</t>
  </si>
  <si>
    <t>CD</t>
  </si>
  <si>
    <t>ARKAY.PK</t>
  </si>
  <si>
    <t>USG</t>
  </si>
  <si>
    <t>WYN</t>
  </si>
  <si>
    <t>TARR</t>
  </si>
  <si>
    <t>WU</t>
  </si>
  <si>
    <t>IAR</t>
  </si>
  <si>
    <t>EXPGY</t>
  </si>
  <si>
    <t>QI</t>
  </si>
  <si>
    <t>HAL</t>
  </si>
  <si>
    <t>FCX</t>
  </si>
  <si>
    <t>UFS</t>
  </si>
  <si>
    <t>HRS</t>
  </si>
  <si>
    <t>DFS</t>
  </si>
  <si>
    <t>TEL</t>
  </si>
  <si>
    <t>ABC</t>
  </si>
  <si>
    <t>HERO</t>
  </si>
  <si>
    <t>AYI</t>
  </si>
  <si>
    <t>HOC</t>
  </si>
  <si>
    <t>WBC</t>
  </si>
  <si>
    <t>GFG</t>
  </si>
  <si>
    <t>MO</t>
  </si>
  <si>
    <t>HI</t>
  </si>
  <si>
    <t>L</t>
  </si>
  <si>
    <t>LO</t>
  </si>
  <si>
    <t>FIS</t>
  </si>
  <si>
    <t>IACI</t>
  </si>
  <si>
    <t>MSFT</t>
  </si>
  <si>
    <t>EBAY</t>
  </si>
  <si>
    <t>COH</t>
  </si>
  <si>
    <t>DPS</t>
  </si>
  <si>
    <t>NTDOY</t>
  </si>
  <si>
    <t>PM</t>
  </si>
  <si>
    <t>CFRHF.PK</t>
  </si>
  <si>
    <t>WLT</t>
  </si>
  <si>
    <t>HTHKY.PK</t>
  </si>
  <si>
    <t>TWX</t>
  </si>
  <si>
    <t>BMY</t>
  </si>
  <si>
    <t>NTLS</t>
  </si>
  <si>
    <t>Advised selling in 9/30 issue.</t>
  </si>
  <si>
    <t>CAH/CFN</t>
  </si>
  <si>
    <t>BR</t>
  </si>
  <si>
    <t>LSTZA</t>
  </si>
  <si>
    <t>ASPS</t>
  </si>
  <si>
    <t>PPD</t>
  </si>
  <si>
    <t>Advised selling in 3/31 issue.</t>
  </si>
  <si>
    <t>CLD</t>
  </si>
  <si>
    <t>GNK</t>
  </si>
  <si>
    <t>TTT</t>
  </si>
  <si>
    <t>VSH</t>
  </si>
  <si>
    <t>DLX.AX</t>
  </si>
  <si>
    <t>LYB</t>
  </si>
  <si>
    <t>AFAM</t>
  </si>
  <si>
    <t>OSK</t>
  </si>
  <si>
    <t>HHC</t>
  </si>
  <si>
    <t>DELL</t>
  </si>
  <si>
    <t>FMNB</t>
  </si>
  <si>
    <t>NOC/HII</t>
  </si>
  <si>
    <t>Advised selling HII in 3/31 issue.</t>
  </si>
  <si>
    <t>WDC</t>
  </si>
  <si>
    <t>WRT.AX</t>
  </si>
  <si>
    <t>LRCX</t>
  </si>
  <si>
    <t>TAH.AX</t>
  </si>
  <si>
    <t>MRO</t>
  </si>
  <si>
    <t>HPQ</t>
  </si>
  <si>
    <t>TRH</t>
  </si>
  <si>
    <t>IDT</t>
  </si>
  <si>
    <t>MPC</t>
  </si>
  <si>
    <t>COV</t>
  </si>
  <si>
    <t>Swire long/short</t>
  </si>
  <si>
    <t>Bank basket</t>
  </si>
  <si>
    <t>SONA, PBSK, STND, DNBF, BOCH</t>
  </si>
  <si>
    <t>IEP</t>
  </si>
  <si>
    <t>Prices are dividend/split adjusted.</t>
  </si>
  <si>
    <t>CSH</t>
  </si>
  <si>
    <t>BAM</t>
  </si>
  <si>
    <t>ALEX</t>
  </si>
  <si>
    <t>ORI</t>
  </si>
  <si>
    <t>GNW</t>
  </si>
  <si>
    <t>HY</t>
  </si>
  <si>
    <t>ABCP</t>
  </si>
  <si>
    <t>PBCP</t>
  </si>
  <si>
    <t>DOLE</t>
  </si>
  <si>
    <t>LUK</t>
  </si>
  <si>
    <t>PCS</t>
  </si>
  <si>
    <t>UNTD</t>
  </si>
  <si>
    <t>VOYA</t>
  </si>
  <si>
    <t>Issue released intraday, shares at 20, closed at 20.84</t>
  </si>
  <si>
    <t>VCI</t>
  </si>
  <si>
    <t>FOXA</t>
  </si>
  <si>
    <t>MUR</t>
  </si>
  <si>
    <t>Bought when-issued basis as MUR-wi</t>
  </si>
  <si>
    <t>SLM</t>
  </si>
  <si>
    <t>SWHC</t>
  </si>
  <si>
    <t>IFT</t>
  </si>
  <si>
    <t>STWD</t>
  </si>
  <si>
    <t>ING</t>
  </si>
  <si>
    <t>Results since June 2005</t>
  </si>
  <si>
    <t>6-month return</t>
  </si>
  <si>
    <t>Annualized</t>
  </si>
  <si>
    <t>Std. Deviation</t>
  </si>
  <si>
    <t>Results since August 2004</t>
  </si>
  <si>
    <t>NOTES</t>
  </si>
  <si>
    <t>This spreadsheet includes all stock selections since inception for which at least 6 months has elapsed since publication.</t>
  </si>
  <si>
    <t>This publication became a monthly in June 2005.  As a result, some may consider results since that date to be more representative.</t>
  </si>
  <si>
    <t>For conservatism, we report the lower figure on our website.</t>
  </si>
  <si>
    <t>Purchase price shown is the last closing price before the newsletter is released (or the first available close, in the case of OFLX).</t>
  </si>
  <si>
    <t>Typically, the newsletter is released after the close, implying a small statistical bias -- small because these aren't hugely volatile stocks.</t>
  </si>
  <si>
    <t>6-month holding period was selected to maximize the data set.  Longer periods are better investments;  shorter periods create a larger sample size.</t>
  </si>
  <si>
    <t>Data is assembled for each month’s issue;  since issues release on different days of the month, test period may differ by a few days from exact 6 months.</t>
  </si>
  <si>
    <t>This has no meaningful effect on results.</t>
  </si>
  <si>
    <t>Results from blindly buying all listed U.S. spinoffs at issue, and selling after 6 months.</t>
  </si>
  <si>
    <t>Trading Symbol</t>
  </si>
  <si>
    <t>Date</t>
  </si>
  <si>
    <t>Sell Price</t>
  </si>
  <si>
    <t>Spin Type</t>
  </si>
  <si>
    <t>THS</t>
  </si>
  <si>
    <t>dist</t>
  </si>
  <si>
    <t>PLI</t>
  </si>
  <si>
    <t>dist/mgr</t>
  </si>
  <si>
    <t>EXPE</t>
  </si>
  <si>
    <t>carveout</t>
  </si>
  <si>
    <t>GVP</t>
  </si>
  <si>
    <t>AMP</t>
  </si>
  <si>
    <t>WBMD</t>
  </si>
  <si>
    <t>FNT</t>
  </si>
  <si>
    <t>CCO</t>
  </si>
  <si>
    <t>TRX</t>
  </si>
  <si>
    <t>LYV</t>
  </si>
  <si>
    <t>DLIA</t>
  </si>
  <si>
    <t>SPSN</t>
  </si>
  <si>
    <t>TCMI</t>
  </si>
  <si>
    <t>CMG</t>
  </si>
  <si>
    <t>CXG</t>
  </si>
  <si>
    <t>ROSE</t>
  </si>
  <si>
    <t>HGCM</t>
  </si>
  <si>
    <t>ME</t>
  </si>
  <si>
    <t>SFL</t>
  </si>
  <si>
    <t>POR</t>
  </si>
  <si>
    <t>EQ</t>
  </si>
  <si>
    <t>ARKAY</t>
  </si>
  <si>
    <t>MWA</t>
  </si>
  <si>
    <t>VRGY</t>
  </si>
  <si>
    <t>WIN</t>
  </si>
  <si>
    <t>H</t>
  </si>
  <si>
    <t>SCA</t>
  </si>
  <si>
    <t>HBI</t>
  </si>
  <si>
    <t>ASFG.OB</t>
  </si>
  <si>
    <t>THI</t>
  </si>
  <si>
    <t>exch</t>
  </si>
  <si>
    <t>ALC</t>
  </si>
  <si>
    <t>CEP</t>
  </si>
  <si>
    <t>KBR</t>
  </si>
  <si>
    <t>SBH</t>
  </si>
  <si>
    <t>UPG</t>
  </si>
  <si>
    <t>SE</t>
  </si>
  <si>
    <t>HSTX</t>
  </si>
  <si>
    <t>TA</t>
  </si>
  <si>
    <t>CHIP</t>
  </si>
  <si>
    <t>TWC</t>
  </si>
  <si>
    <t>XFML</t>
  </si>
  <si>
    <t>KFT</t>
  </si>
  <si>
    <t>CDL</t>
  </si>
  <si>
    <t>FBCM</t>
  </si>
  <si>
    <t>MF</t>
  </si>
  <si>
    <t>PMC</t>
  </si>
  <si>
    <t>VMW</t>
  </si>
  <si>
    <t>CBMX</t>
  </si>
  <si>
    <t>ENP</t>
  </si>
  <si>
    <t>TDC</t>
  </si>
  <si>
    <t>ZEP</t>
  </si>
  <si>
    <t>PCX</t>
  </si>
  <si>
    <t>MV</t>
  </si>
  <si>
    <t>ABII</t>
  </si>
  <si>
    <t>MXB</t>
  </si>
  <si>
    <t>Carveout</t>
  </si>
  <si>
    <t>TNK</t>
  </si>
  <si>
    <t>TSS</t>
  </si>
  <si>
    <t>SATS</t>
  </si>
  <si>
    <t>FOR</t>
  </si>
  <si>
    <t>BIP</t>
  </si>
  <si>
    <t>AHC</t>
  </si>
  <si>
    <t>AWK</t>
  </si>
  <si>
    <t>NX</t>
  </si>
  <si>
    <t>WES</t>
  </si>
  <si>
    <t>SNI</t>
  </si>
  <si>
    <t>CPEX</t>
  </si>
  <si>
    <t>LPS</t>
  </si>
  <si>
    <t>CRA</t>
  </si>
  <si>
    <t>JBT</t>
  </si>
  <si>
    <t>RAH</t>
  </si>
  <si>
    <t>TKTM</t>
  </si>
  <si>
    <t>TREE</t>
  </si>
  <si>
    <t>IILG</t>
  </si>
  <si>
    <t>HSNI</t>
  </si>
  <si>
    <t>ASCMA</t>
  </si>
  <si>
    <t>MHH</t>
  </si>
  <si>
    <t>SPWR</t>
  </si>
  <si>
    <t>CFL</t>
  </si>
  <si>
    <t>WPTE</t>
  </si>
  <si>
    <t>CLW</t>
  </si>
  <si>
    <t>FACT</t>
  </si>
  <si>
    <t>VRTS</t>
  </si>
  <si>
    <t>MJN</t>
  </si>
  <si>
    <t>MYRX</t>
  </si>
  <si>
    <t>HAWK</t>
  </si>
  <si>
    <t>CFN</t>
  </si>
  <si>
    <t>CTMMB</t>
  </si>
  <si>
    <t>ART</t>
  </si>
  <si>
    <t>LMDIA</t>
  </si>
  <si>
    <t>AOL</t>
  </si>
  <si>
    <t>MSG</t>
  </si>
  <si>
    <t>BALT</t>
  </si>
  <si>
    <t>PRI</t>
  </si>
  <si>
    <t>PNG</t>
  </si>
  <si>
    <t>FURX</t>
  </si>
  <si>
    <t>QEP</t>
  </si>
  <si>
    <t>VPG</t>
  </si>
  <si>
    <t>BWC</t>
  </si>
  <si>
    <t>CHKM</t>
  </si>
  <si>
    <t>PAMT.OB</t>
  </si>
  <si>
    <t>SBRA</t>
  </si>
  <si>
    <t>spun off 10/15, listed 1/11/11</t>
  </si>
  <si>
    <t>MMI</t>
  </si>
  <si>
    <t>Traded when-issued from 12/17, regular way from 12/21.</t>
  </si>
  <si>
    <t>DCIX</t>
  </si>
  <si>
    <t>HII</t>
  </si>
  <si>
    <t>SDT</t>
  </si>
  <si>
    <t>TEU</t>
  </si>
  <si>
    <t>TLLP</t>
  </si>
  <si>
    <t>LPR</t>
  </si>
  <si>
    <t>AMCX</t>
  </si>
  <si>
    <t>SXC</t>
  </si>
  <si>
    <t>FBHS</t>
  </si>
  <si>
    <t>LCAPA</t>
  </si>
  <si>
    <t>Converted to LMCA in Nov 2011</t>
  </si>
  <si>
    <t>Merged into LMCA Nov 2011 at .88129 to 1</t>
  </si>
  <si>
    <t>XYL</t>
  </si>
  <si>
    <t>XLS</t>
  </si>
  <si>
    <t>GNE</t>
  </si>
  <si>
    <t>LMOS</t>
  </si>
  <si>
    <t>VAC</t>
  </si>
  <si>
    <t>CHKR</t>
  </si>
  <si>
    <t>TRIP</t>
  </si>
  <si>
    <t>RRMS</t>
  </si>
  <si>
    <t>WPX</t>
  </si>
  <si>
    <t>OSH</t>
  </si>
  <si>
    <t>NRGM</t>
  </si>
  <si>
    <t>RSE</t>
  </si>
  <si>
    <t>ARP</t>
  </si>
  <si>
    <t>Debut date 3/14</t>
  </si>
  <si>
    <t>HLSS</t>
  </si>
  <si>
    <t>VNTV</t>
  </si>
  <si>
    <t>WHZ</t>
  </si>
  <si>
    <t>SDR</t>
  </si>
  <si>
    <t>ACCO</t>
  </si>
  <si>
    <t>FRGI</t>
  </si>
  <si>
    <t>PSX</t>
  </si>
  <si>
    <t>MATX</t>
  </si>
  <si>
    <t>EQM</t>
  </si>
  <si>
    <t>EGL</t>
  </si>
  <si>
    <t>spinoff</t>
  </si>
  <si>
    <t>SPH</t>
  </si>
  <si>
    <t>ADT</t>
  </si>
  <si>
    <t>KRFT</t>
  </si>
  <si>
    <t>SUSP</t>
  </si>
  <si>
    <t>CNSI</t>
  </si>
  <si>
    <t>WWAV</t>
  </si>
  <si>
    <t>SDLP</t>
  </si>
  <si>
    <t>MPLX</t>
  </si>
  <si>
    <t>DKL</t>
  </si>
  <si>
    <t>ALDW</t>
  </si>
  <si>
    <t>ABBV</t>
  </si>
  <si>
    <t>SBY</t>
  </si>
  <si>
    <t>RESI</t>
  </si>
  <si>
    <t>LMCA</t>
  </si>
  <si>
    <t>SXCP</t>
  </si>
  <si>
    <t>CONE</t>
  </si>
  <si>
    <t>ERA</t>
  </si>
  <si>
    <t>ZTS</t>
  </si>
  <si>
    <t>CWGL</t>
  </si>
  <si>
    <t>BPY</t>
  </si>
  <si>
    <t>CST</t>
  </si>
  <si>
    <t>NRZ</t>
  </si>
  <si>
    <t>MNK</t>
  </si>
  <si>
    <t>NWSA</t>
  </si>
  <si>
    <t>PSXP</t>
  </si>
  <si>
    <t>STRP</t>
  </si>
  <si>
    <t>QEPM</t>
  </si>
  <si>
    <t>MUSA</t>
  </si>
  <si>
    <t>LDOS</t>
  </si>
  <si>
    <t>COVS</t>
  </si>
  <si>
    <t>FTD</t>
  </si>
  <si>
    <t>GLPI</t>
  </si>
  <si>
    <t>WNRL</t>
  </si>
  <si>
    <t>HART</t>
  </si>
  <si>
    <t>MEP</t>
  </si>
  <si>
    <t>AHP</t>
  </si>
  <si>
    <t>ALLE</t>
  </si>
  <si>
    <t>VLP</t>
  </si>
  <si>
    <t>SC</t>
  </si>
  <si>
    <t>SWAY</t>
  </si>
  <si>
    <t>CTRV</t>
  </si>
  <si>
    <t>NEWM</t>
  </si>
  <si>
    <t>SZMK</t>
  </si>
  <si>
    <t>KN</t>
  </si>
  <si>
    <t>AMRK</t>
  </si>
  <si>
    <t>Excluded:</t>
  </si>
  <si>
    <t>AAMC</t>
  </si>
  <si>
    <t>AAMC had no revenue, yet rose 300%, to 6x TBV.  We exclude this from results, as this wild outlier would bias and overstate what readers can realistically expect from spinoffs.</t>
  </si>
  <si>
    <t>Geometric mean return:</t>
  </si>
  <si>
    <t>Standard deviation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</si>
</sst>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mmm d, yyyy"/>
    <numFmt numFmtId="60" formatCode="#,##0.000_);\(#,##0.000\)"/>
    <numFmt numFmtId="61" formatCode="#,##0.000"/>
    <numFmt numFmtId="62" formatCode="0.0%"/>
  </numFmts>
  <fonts count="6">
    <font>
      <sz val="12"/>
      <color indexed="8"/>
      <name val="Verdana"/>
    </font>
    <font>
      <sz val="11"/>
      <color indexed="8"/>
      <name val="Helvetica"/>
    </font>
    <font>
      <sz val="10"/>
      <color indexed="8"/>
      <name val="Arial"/>
    </font>
    <font>
      <b val="1"/>
      <sz val="13"/>
      <color indexed="8"/>
      <name val="Helvetica Neue"/>
    </font>
    <font>
      <b val="1"/>
      <sz val="10"/>
      <color indexed="8"/>
      <name val="Arial"/>
    </font>
    <font>
      <b val="1"/>
      <i val="1"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>
        <color indexed="8"/>
      </bottom>
      <diagonal/>
    </border>
    <border>
      <left/>
      <right/>
      <top>
        <color indexed="8"/>
      </top>
      <bottom>
        <color indexed="8"/>
      </bottom>
      <diagonal/>
    </border>
    <border>
      <left/>
      <right/>
      <top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01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fillId="2" borderId="1" applyNumberFormat="1" applyFont="1" applyFill="1" applyBorder="1" applyAlignment="1" applyProtection="0">
      <alignment vertical="bottom"/>
    </xf>
    <xf numFmtId="0" fontId="2" fillId="2" borderId="1" applyNumberFormat="1" applyFont="1" applyFill="1" applyBorder="1" applyAlignment="1" applyProtection="0">
      <alignment vertical="bottom"/>
    </xf>
    <xf numFmtId="0" fontId="2" fillId="2" borderId="1" applyNumberFormat="0" applyFont="1" applyFill="1" applyBorder="1" applyAlignment="1" applyProtection="0">
      <alignment vertical="bottom"/>
    </xf>
    <xf numFmtId="59" fontId="2" fillId="2" borderId="1" applyNumberFormat="1" applyFont="1" applyFill="1" applyBorder="1" applyAlignment="1" applyProtection="0">
      <alignment vertical="bottom"/>
    </xf>
    <xf numFmtId="14" fontId="2" fillId="2" borderId="1" applyNumberFormat="1" applyFont="1" applyFill="1" applyBorder="1" applyAlignment="1" applyProtection="0">
      <alignment vertical="bottom"/>
    </xf>
    <xf numFmtId="4" fontId="2" fillId="2" borderId="1" applyNumberFormat="1" applyFont="1" applyFill="1" applyBorder="1" applyAlignment="1" applyProtection="0">
      <alignment vertical="bottom"/>
    </xf>
    <xf numFmtId="9" fontId="2" fillId="2" borderId="1" applyNumberFormat="1" applyFont="1" applyFill="1" applyBorder="1" applyAlignment="1" applyProtection="0">
      <alignment vertical="bottom"/>
    </xf>
    <xf numFmtId="39" fontId="2" fillId="2" borderId="1" applyNumberFormat="1" applyFont="1" applyFill="1" applyBorder="1" applyAlignment="1" applyProtection="0">
      <alignment vertical="bottom"/>
    </xf>
    <xf numFmtId="2" fontId="2" fillId="2" borderId="1" applyNumberFormat="1" applyFont="1" applyFill="1" applyBorder="1" applyAlignment="1" applyProtection="0">
      <alignment vertical="bottom"/>
    </xf>
    <xf numFmtId="60" fontId="2" fillId="2" borderId="1" applyNumberFormat="1" applyFont="1" applyFill="1" applyBorder="1" applyAlignment="1" applyProtection="0">
      <alignment vertical="bottom"/>
    </xf>
    <xf numFmtId="0" fontId="2" fillId="2" borderId="2" applyNumberFormat="1" applyFont="1" applyFill="1" applyBorder="1" applyAlignment="1" applyProtection="0">
      <alignment vertical="bottom"/>
    </xf>
    <xf numFmtId="2" fontId="2" fillId="2" borderId="2" applyNumberFormat="1" applyFont="1" applyFill="1" applyBorder="1" applyAlignment="1" applyProtection="0">
      <alignment vertical="bottom"/>
    </xf>
    <xf numFmtId="4" fontId="2" fillId="2" borderId="2" applyNumberFormat="1" applyFont="1" applyFill="1" applyBorder="1" applyAlignment="1" applyProtection="0">
      <alignment vertical="bottom"/>
    </xf>
    <xf numFmtId="9" fontId="2" fillId="2" borderId="2" applyNumberFormat="1" applyFont="1" applyFill="1" applyBorder="1" applyAlignment="1" applyProtection="0">
      <alignment vertical="bottom"/>
    </xf>
    <xf numFmtId="14" fontId="2" fillId="2" borderId="3" applyNumberFormat="1" applyFont="1" applyFill="1" applyBorder="1" applyAlignment="1" applyProtection="0">
      <alignment vertical="bottom"/>
    </xf>
    <xf numFmtId="0" fontId="2" fillId="2" borderId="4" applyNumberFormat="1" applyFont="1" applyFill="1" applyBorder="1" applyAlignment="1" applyProtection="0">
      <alignment vertical="bottom"/>
    </xf>
    <xf numFmtId="2" fontId="2" fillId="2" borderId="4" applyNumberFormat="1" applyFont="1" applyFill="1" applyBorder="1" applyAlignment="1" applyProtection="0">
      <alignment vertical="bottom"/>
    </xf>
    <xf numFmtId="9" fontId="2" fillId="2" borderId="4" applyNumberFormat="1" applyFont="1" applyFill="1" applyBorder="1" applyAlignment="1" applyProtection="0">
      <alignment vertical="bottom"/>
    </xf>
    <xf numFmtId="9" fontId="2" fillId="2" borderId="5" applyNumberFormat="1" applyFont="1" applyFill="1" applyBorder="1" applyAlignment="1" applyProtection="0">
      <alignment vertical="bottom"/>
    </xf>
    <xf numFmtId="4" fontId="2" fillId="2" borderId="4" applyNumberFormat="1" applyFont="1" applyFill="1" applyBorder="1" applyAlignment="1" applyProtection="0">
      <alignment vertical="bottom"/>
    </xf>
    <xf numFmtId="61" fontId="2" fillId="2" borderId="4" applyNumberFormat="1" applyFont="1" applyFill="1" applyBorder="1" applyAlignment="1" applyProtection="0">
      <alignment vertical="bottom"/>
    </xf>
    <xf numFmtId="14" fontId="2" fillId="2" borderId="6" applyNumberFormat="1" applyFont="1" applyFill="1" applyBorder="1" applyAlignment="1" applyProtection="0">
      <alignment vertical="bottom"/>
    </xf>
    <xf numFmtId="0" fontId="2" fillId="2" borderId="7" applyNumberFormat="1" applyFont="1" applyFill="1" applyBorder="1" applyAlignment="1" applyProtection="0">
      <alignment vertical="bottom"/>
    </xf>
    <xf numFmtId="2" fontId="2" fillId="2" borderId="8" applyNumberFormat="1" applyFont="1" applyFill="1" applyBorder="1" applyAlignment="1" applyProtection="0">
      <alignment vertical="bottom"/>
    </xf>
    <xf numFmtId="61" fontId="2" fillId="2" borderId="8" applyNumberFormat="1" applyFont="1" applyFill="1" applyBorder="1" applyAlignment="1" applyProtection="0">
      <alignment vertical="bottom"/>
    </xf>
    <xf numFmtId="9" fontId="2" fillId="2" borderId="8" applyNumberFormat="1" applyFont="1" applyFill="1" applyBorder="1" applyAlignment="1" applyProtection="0">
      <alignment vertical="bottom"/>
    </xf>
    <xf numFmtId="9" fontId="2" fillId="2" borderId="9" applyNumberFormat="1" applyFont="1" applyFill="1" applyBorder="1" applyAlignment="1" applyProtection="0">
      <alignment vertical="bottom"/>
    </xf>
    <xf numFmtId="9" fontId="2" fillId="2" borderId="10" applyNumberFormat="1" applyFont="1" applyFill="1" applyBorder="1" applyAlignment="1" applyProtection="0">
      <alignment vertical="bottom"/>
    </xf>
    <xf numFmtId="0" fontId="2" fillId="2" borderId="11" applyNumberFormat="1" applyFont="1" applyFill="1" applyBorder="1" applyAlignment="1" applyProtection="0">
      <alignment vertical="bottom"/>
    </xf>
    <xf numFmtId="2" fontId="2" fillId="2" borderId="12" applyNumberFormat="1" applyFont="1" applyFill="1" applyBorder="1" applyAlignment="1" applyProtection="0">
      <alignment vertical="bottom"/>
    </xf>
    <xf numFmtId="61" fontId="2" fillId="2" borderId="12" applyNumberFormat="1" applyFont="1" applyFill="1" applyBorder="1" applyAlignment="1" applyProtection="0">
      <alignment vertical="bottom"/>
    </xf>
    <xf numFmtId="9" fontId="2" fillId="2" borderId="12" applyNumberFormat="1" applyFont="1" applyFill="1" applyBorder="1" applyAlignment="1" applyProtection="0">
      <alignment vertical="bottom"/>
    </xf>
    <xf numFmtId="9" fontId="2" fillId="2" borderId="13" applyNumberFormat="1" applyFont="1" applyFill="1" applyBorder="1" applyAlignment="1" applyProtection="0">
      <alignment vertical="bottom"/>
    </xf>
    <xf numFmtId="0" fontId="2" fillId="2" borderId="10" applyNumberFormat="1" applyFont="1" applyFill="1" applyBorder="1" applyAlignment="1" applyProtection="0">
      <alignment vertical="bottom"/>
    </xf>
    <xf numFmtId="61" fontId="2" fillId="2" borderId="1" applyNumberFormat="1" applyFont="1" applyFill="1" applyBorder="1" applyAlignment="1" applyProtection="0">
      <alignment vertical="bottom"/>
    </xf>
    <xf numFmtId="9" fontId="2" fillId="2" borderId="6" applyNumberFormat="1" applyFont="1" applyFill="1" applyBorder="1" applyAlignment="1" applyProtection="0">
      <alignment vertical="bottom"/>
    </xf>
    <xf numFmtId="62" fontId="2" fillId="2" borderId="6" applyNumberFormat="1" applyFont="1" applyFill="1" applyBorder="1" applyAlignment="1" applyProtection="0">
      <alignment vertical="bottom"/>
    </xf>
    <xf numFmtId="0" fontId="2" fillId="2" borderId="10" applyNumberFormat="0" applyFont="1" applyFill="1" applyBorder="1" applyAlignment="1" applyProtection="0">
      <alignment vertical="bottom"/>
    </xf>
    <xf numFmtId="0" fontId="2" fillId="2" borderId="14" applyNumberFormat="1" applyFont="1" applyFill="1" applyBorder="1" applyAlignment="1" applyProtection="0">
      <alignment vertical="bottom"/>
    </xf>
    <xf numFmtId="2" fontId="2" fillId="2" borderId="15" applyNumberFormat="1" applyFont="1" applyFill="1" applyBorder="1" applyAlignment="1" applyProtection="0">
      <alignment vertical="bottom"/>
    </xf>
    <xf numFmtId="9" fontId="2" fillId="2" borderId="15" applyNumberFormat="1" applyFont="1" applyFill="1" applyBorder="1" applyAlignment="1" applyProtection="0">
      <alignment vertical="bottom"/>
    </xf>
    <xf numFmtId="0" fontId="2" fillId="2" borderId="15" applyNumberFormat="1" applyFont="1" applyFill="1" applyBorder="1" applyAlignment="1" applyProtection="0">
      <alignment vertical="bottom"/>
    </xf>
    <xf numFmtId="0" fontId="2" fillId="2" borderId="16" applyNumberFormat="1" applyFont="1" applyFill="1" applyBorder="1" applyAlignment="1" applyProtection="0">
      <alignment vertical="bottom"/>
    </xf>
    <xf numFmtId="0" fontId="2" fillId="2" borderId="6" applyNumberFormat="1" applyFont="1" applyFill="1" applyBorder="1" applyAlignment="1" applyProtection="0">
      <alignment vertical="bottom"/>
    </xf>
    <xf numFmtId="0" fontId="2" fillId="2" borderId="17" applyNumberFormat="1" applyFont="1" applyFill="1" applyBorder="1" applyAlignment="1" applyProtection="0">
      <alignment vertical="bottom"/>
    </xf>
    <xf numFmtId="14" fontId="2" fillId="2" borderId="18" applyNumberFormat="1" applyFont="1" applyFill="1" applyBorder="1" applyAlignment="1" applyProtection="0">
      <alignment vertical="bottom"/>
    </xf>
    <xf numFmtId="9" fontId="2" fillId="2" borderId="18" applyNumberFormat="1" applyFont="1" applyFill="1" applyBorder="1" applyAlignment="1" applyProtection="0">
      <alignment vertical="bottom"/>
    </xf>
    <xf numFmtId="9" fontId="2" fillId="2" borderId="19" applyNumberFormat="1" applyFont="1" applyFill="1" applyBorder="1" applyAlignment="1" applyProtection="0">
      <alignment vertical="bottom"/>
    </xf>
    <xf numFmtId="0" fontId="2" fillId="2" borderId="20" applyNumberFormat="1" applyFont="1" applyFill="1" applyBorder="1" applyAlignment="1" applyProtection="0">
      <alignment vertical="bottom"/>
    </xf>
    <xf numFmtId="0" fontId="2" fillId="2" borderId="21" applyNumberFormat="1" applyFont="1" applyFill="1" applyBorder="1" applyAlignment="1" applyProtection="0">
      <alignment vertical="bottom"/>
    </xf>
    <xf numFmtId="62" fontId="2" fillId="2" borderId="21" applyNumberFormat="1" applyFont="1" applyFill="1" applyBorder="1" applyAlignment="1" applyProtection="0">
      <alignment vertical="bottom"/>
    </xf>
    <xf numFmtId="62" fontId="2" fillId="2" borderId="22" applyNumberFormat="1" applyFont="1" applyFill="1" applyBorder="1" applyAlignment="1" applyProtection="0">
      <alignment vertical="bottom"/>
    </xf>
    <xf numFmtId="9" fontId="2" fillId="2" borderId="21" applyNumberFormat="1" applyFont="1" applyFill="1" applyBorder="1" applyAlignment="1" applyProtection="0">
      <alignment vertical="bottom"/>
    </xf>
    <xf numFmtId="0" fontId="2" fillId="2" borderId="23" applyNumberFormat="1" applyFont="1" applyFill="1" applyBorder="1" applyAlignment="1" applyProtection="0">
      <alignment vertical="bottom"/>
    </xf>
    <xf numFmtId="0" fontId="2" fillId="2" borderId="24" applyNumberFormat="1" applyFont="1" applyFill="1" applyBorder="1" applyAlignment="1" applyProtection="0">
      <alignment vertical="bottom"/>
    </xf>
    <xf numFmtId="9" fontId="2" fillId="2" borderId="24" applyNumberFormat="1" applyFont="1" applyFill="1" applyBorder="1" applyAlignment="1" applyProtection="0">
      <alignment vertical="bottom"/>
    </xf>
    <xf numFmtId="0" fontId="2" fillId="2" borderId="25" applyNumberFormat="1" applyFont="1" applyFill="1" applyBorder="1" applyAlignment="1" applyProtection="0">
      <alignment vertical="bottom"/>
    </xf>
    <xf numFmtId="0" fontId="2" fillId="2" borderId="26" applyNumberFormat="1" applyFont="1" applyFill="1" applyBorder="1" applyAlignment="1" applyProtection="0">
      <alignment vertical="bottom"/>
    </xf>
    <xf numFmtId="0" fontId="2" fillId="2" borderId="27" applyNumberFormat="1" applyFont="1" applyFill="1" applyBorder="1" applyAlignment="1" applyProtection="0">
      <alignment vertical="bottom"/>
    </xf>
    <xf numFmtId="0" fontId="2" fillId="2" borderId="28" applyNumberFormat="1" applyFont="1" applyFill="1" applyBorder="1" applyAlignment="1" applyProtection="0">
      <alignment vertical="bottom"/>
    </xf>
    <xf numFmtId="0" fontId="2" fillId="2" borderId="29" applyNumberFormat="1" applyFont="1" applyFill="1" applyBorder="1" applyAlignment="1" applyProtection="0">
      <alignment vertical="bottom"/>
    </xf>
    <xf numFmtId="62" fontId="2" fillId="2" borderId="1" applyNumberFormat="1" applyFont="1" applyFill="1" applyBorder="1" applyAlignment="1" applyProtection="0">
      <alignment vertical="bottom"/>
    </xf>
    <xf numFmtId="9" fontId="2" fillId="2" borderId="28" applyNumberFormat="1" applyFont="1" applyFill="1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fillId="2" borderId="1" applyNumberFormat="1" applyFont="1" applyFill="1" applyBorder="1" applyAlignment="1" applyProtection="0">
      <alignment vertical="bottom" wrapText="1"/>
    </xf>
    <xf numFmtId="0" fontId="2" fillId="2" borderId="30" applyNumberFormat="1" applyFont="1" applyFill="1" applyBorder="1" applyAlignment="1" applyProtection="0">
      <alignment vertical="bottom"/>
    </xf>
    <xf numFmtId="4" fontId="2" fillId="2" borderId="30" applyNumberFormat="1" applyFont="1" applyFill="1" applyBorder="1" applyAlignment="1" applyProtection="0">
      <alignment vertical="bottom"/>
    </xf>
    <xf numFmtId="39" fontId="2" fillId="2" borderId="30" applyNumberFormat="1" applyFont="1" applyFill="1" applyBorder="1" applyAlignment="1" applyProtection="0">
      <alignment vertical="bottom"/>
    </xf>
    <xf numFmtId="0" fontId="2" fillId="2" borderId="30" applyNumberFormat="1" applyFont="1" applyFill="1" applyBorder="1" applyAlignment="1" applyProtection="0">
      <alignment vertical="bottom" wrapText="1"/>
    </xf>
    <xf numFmtId="4" fontId="2" fillId="2" borderId="31" applyNumberFormat="1" applyFont="1" applyFill="1" applyBorder="1" applyAlignment="1" applyProtection="0">
      <alignment vertical="bottom"/>
    </xf>
    <xf numFmtId="0" fontId="2" fillId="2" borderId="32" applyNumberFormat="1" applyFont="1" applyFill="1" applyBorder="1" applyAlignment="1" applyProtection="0">
      <alignment vertical="bottom"/>
    </xf>
    <xf numFmtId="4" fontId="2" fillId="2" borderId="32" applyNumberFormat="1" applyFont="1" applyFill="1" applyBorder="1" applyAlignment="1" applyProtection="0">
      <alignment vertical="bottom"/>
    </xf>
    <xf numFmtId="39" fontId="2" fillId="2" borderId="32" applyNumberFormat="1" applyFont="1" applyFill="1" applyBorder="1" applyAlignment="1" applyProtection="0">
      <alignment vertical="bottom"/>
    </xf>
    <xf numFmtId="0" fontId="2" fillId="2" borderId="32" applyNumberFormat="1" applyFont="1" applyFill="1" applyBorder="1" applyAlignment="1" applyProtection="0">
      <alignment vertical="bottom" wrapText="1"/>
    </xf>
    <xf numFmtId="0" fontId="2" fillId="2" borderId="33" applyNumberFormat="1" applyFont="1" applyFill="1" applyBorder="1" applyAlignment="1" applyProtection="0">
      <alignment vertical="bottom"/>
    </xf>
    <xf numFmtId="4" fontId="2" fillId="2" borderId="33" applyNumberFormat="1" applyFont="1" applyFill="1" applyBorder="1" applyAlignment="1" applyProtection="0">
      <alignment vertical="bottom"/>
    </xf>
    <xf numFmtId="39" fontId="2" fillId="2" borderId="33" applyNumberFormat="1" applyFont="1" applyFill="1" applyBorder="1" applyAlignment="1" applyProtection="0">
      <alignment vertical="bottom"/>
    </xf>
    <xf numFmtId="0" fontId="2" fillId="2" borderId="33" applyNumberFormat="1" applyFont="1" applyFill="1" applyBorder="1" applyAlignment="1" applyProtection="0">
      <alignment vertical="bottom" wrapText="1"/>
    </xf>
    <xf numFmtId="0" fontId="2" fillId="2" borderId="34" applyNumberFormat="1" applyFont="1" applyFill="1" applyBorder="1" applyAlignment="1" applyProtection="0">
      <alignment vertical="bottom"/>
    </xf>
    <xf numFmtId="4" fontId="2" fillId="2" borderId="34" applyNumberFormat="1" applyFont="1" applyFill="1" applyBorder="1" applyAlignment="1" applyProtection="0">
      <alignment vertical="bottom"/>
    </xf>
    <xf numFmtId="39" fontId="2" fillId="2" borderId="34" applyNumberFormat="1" applyFont="1" applyFill="1" applyBorder="1" applyAlignment="1" applyProtection="0">
      <alignment vertical="bottom"/>
    </xf>
    <xf numFmtId="0" fontId="2" fillId="2" borderId="34" applyNumberFormat="1" applyFont="1" applyFill="1" applyBorder="1" applyAlignment="1" applyProtection="0">
      <alignment vertical="bottom" wrapText="1"/>
    </xf>
    <xf numFmtId="0" fontId="2" fillId="2" borderId="35" applyNumberFormat="1" applyFont="1" applyFill="1" applyBorder="1" applyAlignment="1" applyProtection="0">
      <alignment vertical="bottom"/>
    </xf>
    <xf numFmtId="4" fontId="2" fillId="2" borderId="35" applyNumberFormat="1" applyFont="1" applyFill="1" applyBorder="1" applyAlignment="1" applyProtection="0">
      <alignment vertical="bottom"/>
    </xf>
    <xf numFmtId="39" fontId="2" fillId="2" borderId="35" applyNumberFormat="1" applyFont="1" applyFill="1" applyBorder="1" applyAlignment="1" applyProtection="0">
      <alignment vertical="bottom"/>
    </xf>
    <xf numFmtId="0" fontId="2" fillId="2" borderId="35" applyNumberFormat="1" applyFont="1" applyFill="1" applyBorder="1" applyAlignment="1" applyProtection="0">
      <alignment vertical="bottom" wrapText="1"/>
    </xf>
    <xf numFmtId="0" fontId="2" fillId="2" borderId="35" applyNumberFormat="0" applyFont="1" applyFill="1" applyBorder="1" applyAlignment="1" applyProtection="0">
      <alignment vertical="bottom"/>
    </xf>
    <xf numFmtId="0" fontId="2" fillId="2" borderId="35" applyNumberFormat="0" applyFont="1" applyFill="1" applyBorder="1" applyAlignment="1" applyProtection="0">
      <alignment vertical="bottom" wrapText="1"/>
    </xf>
    <xf numFmtId="0" fontId="5" fillId="2" borderId="1" applyNumberFormat="1" applyFont="1" applyFill="1" applyBorder="1" applyAlignment="1" applyProtection="0">
      <alignment vertical="bottom"/>
    </xf>
    <xf numFmtId="0" fontId="2" fillId="2" borderId="36" applyNumberFormat="1" applyFont="1" applyFill="1" applyBorder="1" applyAlignment="1" applyProtection="0">
      <alignment vertical="bottom"/>
    </xf>
    <xf numFmtId="4" fontId="2" fillId="2" borderId="36" applyNumberFormat="1" applyFont="1" applyFill="1" applyBorder="1" applyAlignment="1" applyProtection="0">
      <alignment vertical="bottom"/>
    </xf>
    <xf numFmtId="0" fontId="2" fillId="2" borderId="36" applyNumberFormat="1" applyFont="1" applyFill="1" applyBorder="1" applyAlignment="1" applyProtection="0">
      <alignment vertical="bottom" wrapText="1"/>
    </xf>
    <xf numFmtId="4" fontId="2" fillId="2" borderId="6" applyNumberFormat="1" applyFont="1" applyFill="1" applyBorder="1" applyAlignment="1" applyProtection="0">
      <alignment vertical="bottom"/>
    </xf>
    <xf numFmtId="4" fontId="2" fillId="2" borderId="28" applyNumberFormat="1" applyFont="1" applyFill="1" applyBorder="1" applyAlignment="1" applyProtection="0">
      <alignment vertical="bottom"/>
    </xf>
    <xf numFmtId="10" fontId="2" fillId="2" borderId="28" applyNumberFormat="1" applyFont="1" applyFill="1" applyBorder="1" applyAlignment="1" applyProtection="0">
      <alignment vertical="bottom"/>
    </xf>
    <xf numFmtId="62" fontId="2" fillId="2" borderId="28" applyNumberFormat="1" applyFont="1" applyFill="1" applyBorder="1" applyAlignment="1" applyProtection="0">
      <alignment vertical="bottom"/>
    </xf>
    <xf numFmtId="0" fontId="2" fillId="2" borderId="28" applyNumberFormat="1" applyFont="1" applyFill="1" applyBorder="1" applyAlignment="1" applyProtection="0">
      <alignment vertical="bottom" wrapText="1"/>
    </xf>
    <xf numFmtId="4" fontId="2" fillId="2" borderId="15" applyNumberFormat="1" applyFont="1" applyFill="1" applyBorder="1" applyAlignment="1" applyProtection="0">
      <alignment vertical="bottom"/>
    </xf>
    <xf numFmtId="0" fontId="2" fillId="2" borderId="15" applyNumberFormat="1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fcfcf"/>
      <rgbColor rgb="ffcbcccb"/>
      <rgbColor rgb="ffd4d4d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140"/>
  <sheetViews>
    <sheetView workbookViewId="0" showGridLines="0" defaultGridColor="1"/>
  </sheetViews>
  <sheetFormatPr defaultColWidth="7.52695" defaultRowHeight="11.45" customHeight="1" outlineLevelRow="0" outlineLevelCol="0"/>
  <cols>
    <col min="1" max="1" width="7.54688" style="1" customWidth="1"/>
    <col min="2" max="2" width="8.11719" style="1" customWidth="1"/>
    <col min="3" max="3" width="5.47656" style="1" customWidth="1"/>
    <col min="4" max="4" width="6.625" style="1" customWidth="1"/>
    <col min="5" max="5" width="1.875" style="1" customWidth="1"/>
    <col min="6" max="6" width="5.60156" style="1" customWidth="1"/>
    <col min="7" max="7" width="5.5" style="1" customWidth="1"/>
    <col min="8" max="8" width="6.21094" style="1" customWidth="1"/>
    <col min="9" max="9" width="4.92188" style="1" customWidth="1"/>
    <col min="10" max="10" width="5.10156" style="1" customWidth="1"/>
    <col min="11" max="11" width="5.97656" style="1" customWidth="1"/>
    <col min="12" max="12" width="2.33594" style="1" customWidth="1"/>
    <col min="13" max="13" width="4.375" style="1" customWidth="1"/>
    <col min="14" max="14" width="4.375" style="1" customWidth="1"/>
    <col min="15" max="15" width="23.1172" style="1" customWidth="1"/>
    <col min="16" max="256" width="7.54688" style="1" customWidth="1"/>
  </cols>
  <sheetData>
    <row r="1" ht="12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2" customHeight="1">
      <c r="A2" t="s" s="3">
        <v>1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2" customHeight="1">
      <c r="A3" t="s" s="3">
        <v>2</v>
      </c>
      <c r="B3" s="5">
        <v>41913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2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12" customHeight="1">
      <c r="A5" t="s" s="3">
        <v>3</v>
      </c>
      <c r="B5" t="s" s="3">
        <v>4</v>
      </c>
      <c r="C5" t="s" s="3">
        <v>5</v>
      </c>
      <c r="D5" t="s" s="3">
        <v>6</v>
      </c>
      <c r="E5" s="4"/>
      <c r="F5" t="s" s="3">
        <v>7</v>
      </c>
      <c r="G5" t="s" s="3">
        <v>8</v>
      </c>
      <c r="H5" t="s" s="3">
        <v>6</v>
      </c>
      <c r="I5" t="s" s="3">
        <v>9</v>
      </c>
      <c r="J5" t="s" s="3">
        <v>10</v>
      </c>
      <c r="K5" s="3"/>
      <c r="L5" s="4"/>
      <c r="M5" t="s" s="3">
        <v>11</v>
      </c>
      <c r="N5" s="3"/>
      <c r="O5" s="3"/>
    </row>
    <row r="6" ht="12" customHeight="1">
      <c r="A6" s="4"/>
      <c r="B6" s="4"/>
      <c r="C6" s="4"/>
      <c r="D6" s="4"/>
      <c r="E6" s="4"/>
      <c r="F6" s="4"/>
      <c r="G6" s="4"/>
      <c r="H6" s="4"/>
      <c r="I6" s="3"/>
      <c r="J6" t="s" s="3">
        <v>12</v>
      </c>
      <c r="K6" t="s" s="3">
        <v>13</v>
      </c>
      <c r="L6" s="3"/>
      <c r="M6" t="s" s="3">
        <v>14</v>
      </c>
      <c r="N6" s="3"/>
      <c r="O6" s="3"/>
    </row>
    <row r="7" ht="12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12" customHeight="1">
      <c r="A8" t="s" s="3">
        <v>15</v>
      </c>
      <c r="B8" s="6">
        <v>38216</v>
      </c>
      <c r="C8" s="3">
        <v>32.62</v>
      </c>
      <c r="D8" s="3">
        <v>1081.71</v>
      </c>
      <c r="E8" s="4"/>
      <c r="F8" s="6">
        <v>38400</v>
      </c>
      <c r="G8" s="3">
        <v>44.15</v>
      </c>
      <c r="H8" s="3">
        <v>1200.75</v>
      </c>
      <c r="I8" s="7"/>
      <c r="J8" s="8">
        <f>(G8+I8)/C8-1</f>
        <v>0.3534641324340895</v>
      </c>
      <c r="K8" s="8">
        <f>J8-(H8/D8-1)</f>
        <v>0.2434161528462147</v>
      </c>
      <c r="L8" s="8"/>
      <c r="M8" s="9">
        <f>1+J8</f>
        <v>1.353464132434089</v>
      </c>
      <c r="N8" s="9">
        <f>1+K8</f>
        <v>1.243416152846215</v>
      </c>
      <c r="O8" s="9"/>
    </row>
    <row r="9" ht="12" customHeight="1">
      <c r="A9" t="s" s="3">
        <v>16</v>
      </c>
      <c r="B9" s="6">
        <v>38286</v>
      </c>
      <c r="C9" s="3">
        <v>7.09</v>
      </c>
      <c r="D9" s="3">
        <v>1111.09</v>
      </c>
      <c r="E9" s="4"/>
      <c r="F9" s="6">
        <v>38468</v>
      </c>
      <c r="G9" s="3">
        <v>10.06</v>
      </c>
      <c r="H9" s="3">
        <v>1151.83</v>
      </c>
      <c r="I9" s="7">
        <v>0.04</v>
      </c>
      <c r="J9" s="8">
        <f>(G9+I9)/C9-1</f>
        <v>0.4245416078984485</v>
      </c>
      <c r="K9" s="8">
        <f>J9-(H9/D9-1)</f>
        <v>0.3878749112312119</v>
      </c>
      <c r="L9" s="8"/>
      <c r="M9" s="9">
        <f>1+J9</f>
        <v>1.424541607898449</v>
      </c>
      <c r="N9" s="9">
        <f>1+K9</f>
        <v>1.387874911231212</v>
      </c>
      <c r="O9" s="9"/>
    </row>
    <row r="10" ht="12" customHeight="1">
      <c r="A10" t="s" s="3">
        <v>17</v>
      </c>
      <c r="B10" s="6">
        <v>38286</v>
      </c>
      <c r="C10" s="3">
        <v>30.6</v>
      </c>
      <c r="D10" s="3">
        <v>1111.09</v>
      </c>
      <c r="E10" s="4"/>
      <c r="F10" s="6">
        <v>38468</v>
      </c>
      <c r="G10" s="3">
        <v>44.2</v>
      </c>
      <c r="H10" s="3">
        <v>1151.83</v>
      </c>
      <c r="I10" s="7">
        <v>0.9350000000000001</v>
      </c>
      <c r="J10" s="8">
        <f>(G10+I10)/C10-1</f>
        <v>0.4750000000000001</v>
      </c>
      <c r="K10" s="8">
        <f>J10-(H10/D10-1)</f>
        <v>0.4383333033327634</v>
      </c>
      <c r="L10" s="8"/>
      <c r="M10" s="9">
        <f>1+J10</f>
        <v>1.475</v>
      </c>
      <c r="N10" s="9">
        <f>1+K10</f>
        <v>1.438333303332763</v>
      </c>
      <c r="O10" s="9"/>
    </row>
    <row r="11" ht="12" customHeight="1">
      <c r="A11" t="s" s="3">
        <v>18</v>
      </c>
      <c r="B11" s="6">
        <v>38286</v>
      </c>
      <c r="C11" s="3">
        <v>17.49</v>
      </c>
      <c r="D11" s="3">
        <v>1111.09</v>
      </c>
      <c r="E11" s="4"/>
      <c r="F11" s="6">
        <v>38468</v>
      </c>
      <c r="G11" s="3">
        <v>19.38</v>
      </c>
      <c r="H11" s="3">
        <v>1151.83</v>
      </c>
      <c r="I11" s="7">
        <v>0.02</v>
      </c>
      <c r="J11" s="8">
        <f>(G11+I11)/C11-1</f>
        <v>0.1092052601486564</v>
      </c>
      <c r="K11" s="8">
        <f>J11-(H11/D11-1)</f>
        <v>0.07253856348141974</v>
      </c>
      <c r="L11" s="8"/>
      <c r="M11" s="9">
        <f>1+J11</f>
        <v>1.109205260148656</v>
      </c>
      <c r="N11" s="9">
        <f>1+K11</f>
        <v>1.07253856348142</v>
      </c>
      <c r="O11" s="9"/>
    </row>
    <row r="12" ht="12" customHeight="1">
      <c r="A12" t="s" s="3">
        <v>19</v>
      </c>
      <c r="B12" s="6">
        <v>38323</v>
      </c>
      <c r="C12" s="3">
        <v>32.5</v>
      </c>
      <c r="D12" s="3">
        <v>1190.33</v>
      </c>
      <c r="E12" s="4"/>
      <c r="F12" s="6">
        <v>38505</v>
      </c>
      <c r="G12" s="3">
        <v>30.48</v>
      </c>
      <c r="H12" s="3">
        <v>1204.29</v>
      </c>
      <c r="I12" s="7">
        <v>0.2</v>
      </c>
      <c r="J12" s="8">
        <f>(G12+I12)/C12-1</f>
        <v>-0.05600000000000005</v>
      </c>
      <c r="K12" s="8">
        <f>J12-(H12/D12-1)</f>
        <v>-0.06772784017877398</v>
      </c>
      <c r="L12" s="8"/>
      <c r="M12" s="9">
        <f>1+J12</f>
        <v>0.944</v>
      </c>
      <c r="N12" s="9">
        <f>1+K12</f>
        <v>0.932272159821226</v>
      </c>
      <c r="O12" s="9"/>
    </row>
    <row r="13" ht="12" customHeight="1">
      <c r="A13" t="s" s="3">
        <v>20</v>
      </c>
      <c r="B13" s="6">
        <v>38371</v>
      </c>
      <c r="C13" s="3">
        <v>23.3</v>
      </c>
      <c r="D13" s="3">
        <v>1184.63</v>
      </c>
      <c r="E13" s="4"/>
      <c r="F13" s="6">
        <v>38552</v>
      </c>
      <c r="G13" s="3">
        <v>28</v>
      </c>
      <c r="H13" s="3">
        <v>1229.35</v>
      </c>
      <c r="I13" s="7"/>
      <c r="J13" s="8">
        <f>(G13+I13)/C13-1</f>
        <v>0.2017167381974247</v>
      </c>
      <c r="K13" s="8">
        <f>J13-(H13/D13-1)</f>
        <v>0.163966554595794</v>
      </c>
      <c r="L13" s="8"/>
      <c r="M13" s="9">
        <f>1+J13</f>
        <v>1.201716738197425</v>
      </c>
      <c r="N13" s="9">
        <f>1+K13</f>
        <v>1.163966554595794</v>
      </c>
      <c r="O13" s="9"/>
    </row>
    <row r="14" ht="12" customHeight="1">
      <c r="A14" t="s" s="3">
        <v>21</v>
      </c>
      <c r="B14" s="6">
        <v>38366</v>
      </c>
      <c r="C14" s="3">
        <v>0.8</v>
      </c>
      <c r="D14" s="3">
        <v>1184.52</v>
      </c>
      <c r="E14" s="4"/>
      <c r="F14" s="6">
        <v>38547</v>
      </c>
      <c r="G14" s="3">
        <v>0.65</v>
      </c>
      <c r="H14" s="3">
        <v>1226.5</v>
      </c>
      <c r="I14" s="7"/>
      <c r="J14" s="8">
        <f>(G14+I14)/C14-1</f>
        <v>-0.1875</v>
      </c>
      <c r="K14" s="8">
        <f>J14-(H14/D14-1)</f>
        <v>-0.2229405159895992</v>
      </c>
      <c r="L14" s="8"/>
      <c r="M14" s="9">
        <f>1+J14</f>
        <v>0.8125</v>
      </c>
      <c r="N14" s="9">
        <f>1+K14</f>
        <v>0.7770594840104008</v>
      </c>
      <c r="O14" s="9"/>
    </row>
    <row r="15" ht="12" customHeight="1">
      <c r="A15" t="s" s="3">
        <v>22</v>
      </c>
      <c r="B15" s="6">
        <v>38565</v>
      </c>
      <c r="C15" s="3">
        <v>12.15</v>
      </c>
      <c r="D15" s="3">
        <v>1235.35</v>
      </c>
      <c r="E15" s="4"/>
      <c r="F15" s="6">
        <v>38698</v>
      </c>
      <c r="G15" s="3">
        <v>16.53</v>
      </c>
      <c r="H15" s="10">
        <v>1260.43</v>
      </c>
      <c r="I15" s="7"/>
      <c r="J15" s="8">
        <f>(G15+I15)/C15-1</f>
        <v>0.3604938271604938</v>
      </c>
      <c r="K15" s="8">
        <f>J15-(H15/D15-1)</f>
        <v>0.3401918884386739</v>
      </c>
      <c r="L15" s="8"/>
      <c r="M15" s="9">
        <f>1+J15</f>
        <v>1.360493827160494</v>
      </c>
      <c r="N15" s="9">
        <f>1+K15</f>
        <v>1.340191888438674</v>
      </c>
      <c r="O15" s="9"/>
    </row>
    <row r="16" ht="12" customHeight="1">
      <c r="A16" t="s" s="3">
        <v>23</v>
      </c>
      <c r="B16" s="6">
        <v>38543</v>
      </c>
      <c r="C16" s="3">
        <v>9.31</v>
      </c>
      <c r="D16" s="3">
        <v>1219.44</v>
      </c>
      <c r="E16" s="4"/>
      <c r="F16" s="6">
        <v>38727</v>
      </c>
      <c r="G16" s="3">
        <v>12</v>
      </c>
      <c r="H16" s="10">
        <v>1289.69</v>
      </c>
      <c r="I16" s="7"/>
      <c r="J16" s="8">
        <f>(G16+I16)/C16-1</f>
        <v>0.2889366272824918</v>
      </c>
      <c r="K16" s="8">
        <f>J16-(H16/D16-1)</f>
        <v>0.2313282168645951</v>
      </c>
      <c r="L16" s="8"/>
      <c r="M16" s="9">
        <f>1+J16</f>
        <v>1.288936627282492</v>
      </c>
      <c r="N16" s="9">
        <f>1+K16</f>
        <v>1.231328216864595</v>
      </c>
      <c r="O16" s="9"/>
    </row>
    <row r="17" ht="12" customHeight="1">
      <c r="A17" t="s" s="3">
        <v>24</v>
      </c>
      <c r="B17" s="6">
        <v>38574</v>
      </c>
      <c r="C17" s="3">
        <v>18.3</v>
      </c>
      <c r="D17" s="3">
        <v>1229.13</v>
      </c>
      <c r="E17" s="4"/>
      <c r="F17" s="6">
        <v>38393</v>
      </c>
      <c r="G17" s="3">
        <v>21.83</v>
      </c>
      <c r="H17" s="10">
        <v>1266.99</v>
      </c>
      <c r="I17" s="7"/>
      <c r="J17" s="8">
        <f>(G17+I17)/C17-1</f>
        <v>0.1928961748633879</v>
      </c>
      <c r="K17" s="8">
        <f>J17-(H17/D17-1)</f>
        <v>0.1620939000836659</v>
      </c>
      <c r="L17" s="8"/>
      <c r="M17" s="9">
        <f>1+J17</f>
        <v>1.192896174863388</v>
      </c>
      <c r="N17" s="9">
        <f>1+K17</f>
        <v>1.162093900083666</v>
      </c>
      <c r="O17" s="9"/>
    </row>
    <row r="18" ht="12" customHeight="1">
      <c r="A18" t="s" s="3">
        <v>25</v>
      </c>
      <c r="B18" s="6">
        <v>38606</v>
      </c>
      <c r="C18" s="3">
        <v>14.97</v>
      </c>
      <c r="D18" s="3">
        <v>1240.56</v>
      </c>
      <c r="E18" s="4"/>
      <c r="F18" s="6">
        <v>38785</v>
      </c>
      <c r="G18" s="3">
        <v>14.23</v>
      </c>
      <c r="H18" s="10">
        <v>1272.23</v>
      </c>
      <c r="I18" s="7"/>
      <c r="J18" s="8">
        <f>(G18+I18)/C18-1</f>
        <v>-0.04943219772879093</v>
      </c>
      <c r="K18" s="8">
        <f>J18-(H18/D18-1)</f>
        <v>-0.07496099117691124</v>
      </c>
      <c r="L18" s="8"/>
      <c r="M18" s="9">
        <f>1+J18</f>
        <v>0.9505678022712091</v>
      </c>
      <c r="N18" s="9">
        <f>1+K18</f>
        <v>0.9250390088230888</v>
      </c>
      <c r="O18" s="9"/>
    </row>
    <row r="19" ht="12" customHeight="1">
      <c r="A19" t="s" s="3">
        <v>26</v>
      </c>
      <c r="B19" s="6">
        <v>38638</v>
      </c>
      <c r="C19" s="3">
        <v>15.77</v>
      </c>
      <c r="D19" s="3">
        <v>1176.84</v>
      </c>
      <c r="E19" s="4"/>
      <c r="F19" s="6">
        <v>38820</v>
      </c>
      <c r="G19" s="3">
        <v>13.96</v>
      </c>
      <c r="H19" s="10">
        <v>1289.12</v>
      </c>
      <c r="I19" s="7"/>
      <c r="J19" s="8">
        <f>(G19+I19)/C19-1</f>
        <v>-0.1147748890298034</v>
      </c>
      <c r="K19" s="8">
        <f>J19-(H19/D19-1)</f>
        <v>-0.2101829309046547</v>
      </c>
      <c r="L19" s="8"/>
      <c r="M19" s="9">
        <f>1+J19</f>
        <v>0.8852251109701966</v>
      </c>
      <c r="N19" s="9">
        <f>1+K19</f>
        <v>0.7898170690953453</v>
      </c>
      <c r="O19" s="9"/>
    </row>
    <row r="20" ht="12" customHeight="1">
      <c r="A20" t="s" s="3">
        <v>27</v>
      </c>
      <c r="B20" s="6">
        <v>38667</v>
      </c>
      <c r="C20" s="3">
        <v>5.64</v>
      </c>
      <c r="D20" s="3">
        <v>1234.72</v>
      </c>
      <c r="E20" s="4"/>
      <c r="F20" s="6">
        <v>38848</v>
      </c>
      <c r="G20" s="3">
        <v>5.05</v>
      </c>
      <c r="H20" s="10">
        <v>1305.92</v>
      </c>
      <c r="I20" s="7"/>
      <c r="J20" s="8">
        <f>(G20+I20)/C20-1</f>
        <v>-0.1046099290780141</v>
      </c>
      <c r="K20" s="8">
        <f>J20-(H20/D20-1)</f>
        <v>-0.1622748247628657</v>
      </c>
      <c r="L20" s="8"/>
      <c r="M20" s="9">
        <f>1+J20</f>
        <v>0.8953900709219859</v>
      </c>
      <c r="N20" s="9">
        <f>1+K20</f>
        <v>0.8377251752371343</v>
      </c>
      <c r="O20" s="9"/>
    </row>
    <row r="21" ht="12" customHeight="1">
      <c r="A21" t="s" s="3">
        <v>28</v>
      </c>
      <c r="B21" s="6">
        <v>38698</v>
      </c>
      <c r="C21" s="3">
        <v>21.28</v>
      </c>
      <c r="D21" s="10">
        <v>1260.43</v>
      </c>
      <c r="E21" s="10"/>
      <c r="F21" s="6">
        <v>38873</v>
      </c>
      <c r="G21" s="3">
        <v>32.06</v>
      </c>
      <c r="H21" s="10">
        <v>1230.04</v>
      </c>
      <c r="I21" s="7">
        <v>0.51</v>
      </c>
      <c r="J21" s="8">
        <f>(G21+I21)/C21-1</f>
        <v>0.5305451127819547</v>
      </c>
      <c r="K21" s="8">
        <f>J21-(H21/D21-1)</f>
        <v>0.554655932105519</v>
      </c>
      <c r="L21" s="8"/>
      <c r="M21" s="9">
        <f>1+J21</f>
        <v>1.530545112781955</v>
      </c>
      <c r="N21" s="9">
        <f>1+K21</f>
        <v>1.554655932105519</v>
      </c>
      <c r="O21" s="9"/>
    </row>
    <row r="22" ht="12" customHeight="1">
      <c r="A22" t="s" s="3">
        <v>29</v>
      </c>
      <c r="B22" s="6">
        <v>38730</v>
      </c>
      <c r="C22" s="3">
        <v>25.48</v>
      </c>
      <c r="D22" s="10">
        <v>1287.61</v>
      </c>
      <c r="E22" s="10"/>
      <c r="F22" s="6">
        <v>38911</v>
      </c>
      <c r="G22" s="3">
        <v>26.95</v>
      </c>
      <c r="H22" s="10">
        <v>1242.29</v>
      </c>
      <c r="I22" s="7">
        <v>0.34</v>
      </c>
      <c r="J22" s="8">
        <f>(G22+I22)/C22-1</f>
        <v>0.0710361067503924</v>
      </c>
      <c r="K22" s="8">
        <f>J22-(H22/D22-1)</f>
        <v>0.1062330996286707</v>
      </c>
      <c r="L22" s="8"/>
      <c r="M22" s="9">
        <f>1+J22</f>
        <v>1.071036106750392</v>
      </c>
      <c r="N22" s="9">
        <f>1+K22</f>
        <v>1.106233099628671</v>
      </c>
      <c r="O22" s="9"/>
    </row>
    <row r="23" ht="12" customHeight="1">
      <c r="A23" t="s" s="3">
        <v>30</v>
      </c>
      <c r="B23" s="6">
        <v>38761</v>
      </c>
      <c r="C23" s="3">
        <v>47.29</v>
      </c>
      <c r="D23" s="10">
        <v>1262.86</v>
      </c>
      <c r="E23" s="10"/>
      <c r="F23" s="6">
        <v>38943</v>
      </c>
      <c r="G23" s="3">
        <f>32.92+0.8093*17.12+0.16509</f>
        <v>46.940306</v>
      </c>
      <c r="H23" s="10">
        <v>1268.21</v>
      </c>
      <c r="I23" s="7"/>
      <c r="J23" s="8">
        <f>(G23+I23)/C23-1</f>
        <v>-0.007394671177838874</v>
      </c>
      <c r="K23" s="8">
        <f>J23-(H23/D23-1)</f>
        <v>-0.01163108693255455</v>
      </c>
      <c r="L23" s="8"/>
      <c r="M23" s="9">
        <f>1+J23</f>
        <v>0.9926053288221611</v>
      </c>
      <c r="N23" s="9">
        <f>1+K23</f>
        <v>0.9883689130674455</v>
      </c>
      <c r="O23" s="9"/>
    </row>
    <row r="24" ht="12" customHeight="1">
      <c r="A24" t="s" s="3">
        <v>31</v>
      </c>
      <c r="B24" s="6">
        <v>38789</v>
      </c>
      <c r="C24" s="3">
        <f>35.84-0.8014*21.79</f>
        <v>18.37749400000001</v>
      </c>
      <c r="D24" s="10">
        <v>1284.13</v>
      </c>
      <c r="E24" s="10"/>
      <c r="F24" s="6">
        <v>38973</v>
      </c>
      <c r="G24" s="3">
        <f>42.29-0.8014*21.85</f>
        <v>24.77941</v>
      </c>
      <c r="H24" s="10">
        <v>1318.07</v>
      </c>
      <c r="I24" s="7">
        <v>0.5</v>
      </c>
      <c r="J24" s="8">
        <f>(G24+I24)/C24-1</f>
        <v>0.375563501748388</v>
      </c>
      <c r="K24" s="8">
        <f>J24-(H24/D24-1)</f>
        <v>0.3491331559111288</v>
      </c>
      <c r="L24" s="8"/>
      <c r="M24" s="9">
        <f>1+J24</f>
        <v>1.375563501748388</v>
      </c>
      <c r="N24" s="9">
        <f>1+K24</f>
        <v>1.349133155911129</v>
      </c>
      <c r="O24" s="9"/>
    </row>
    <row r="25" ht="12" customHeight="1">
      <c r="A25" t="s" s="3">
        <v>32</v>
      </c>
      <c r="B25" s="6">
        <v>38820</v>
      </c>
      <c r="C25" s="3">
        <v>16.8</v>
      </c>
      <c r="D25" s="10">
        <v>1289.12</v>
      </c>
      <c r="E25" s="10"/>
      <c r="F25" s="6">
        <v>39003</v>
      </c>
      <c r="G25" s="3">
        <v>15.88</v>
      </c>
      <c r="H25" s="10">
        <v>1365.38</v>
      </c>
      <c r="I25" s="7"/>
      <c r="J25" s="8">
        <f>(G25+I25)/C25-1</f>
        <v>-0.05476190476190479</v>
      </c>
      <c r="K25" s="8">
        <f>J25-(H25/D25-1)</f>
        <v>-0.113918538744777</v>
      </c>
      <c r="L25" s="8"/>
      <c r="M25" s="9">
        <f>1+J25</f>
        <v>0.9452380952380952</v>
      </c>
      <c r="N25" s="9">
        <f>1+K25</f>
        <v>0.886081461255223</v>
      </c>
      <c r="O25" s="9"/>
    </row>
    <row r="26" ht="12" customHeight="1">
      <c r="A26" t="s" s="3">
        <v>33</v>
      </c>
      <c r="B26" s="6">
        <v>38852</v>
      </c>
      <c r="C26" s="3">
        <v>17.03</v>
      </c>
      <c r="D26" s="10">
        <v>1294.5</v>
      </c>
      <c r="E26" s="10"/>
      <c r="F26" s="6">
        <v>39031</v>
      </c>
      <c r="G26" s="3">
        <f>20.44/10+26.61*0.25+29.94*0.2</f>
        <v>14.6845</v>
      </c>
      <c r="H26" s="10">
        <v>1380.9</v>
      </c>
      <c r="I26" s="7"/>
      <c r="J26" s="8">
        <f>(G26+I26)/C26-1</f>
        <v>-0.1377275396359366</v>
      </c>
      <c r="K26" s="8">
        <f>J26-(H26/D26-1)</f>
        <v>-0.2044714562060409</v>
      </c>
      <c r="L26" s="8"/>
      <c r="M26" s="9">
        <f>1+J26</f>
        <v>0.8622724603640634</v>
      </c>
      <c r="N26" s="9">
        <f>1+K26</f>
        <v>0.7955285437939591</v>
      </c>
      <c r="O26" s="9"/>
    </row>
    <row r="27" ht="12" customHeight="1">
      <c r="A27" t="s" s="3">
        <v>34</v>
      </c>
      <c r="B27" s="6">
        <v>38882</v>
      </c>
      <c r="C27" s="3">
        <v>32</v>
      </c>
      <c r="D27" s="10">
        <v>1230.04</v>
      </c>
      <c r="E27" s="10"/>
      <c r="F27" s="6">
        <v>39064</v>
      </c>
      <c r="G27" s="3">
        <v>52.45</v>
      </c>
      <c r="H27" s="10">
        <v>1413.21</v>
      </c>
      <c r="I27" s="7"/>
      <c r="J27" s="8">
        <f>(G27+I27)/C27-1</f>
        <v>0.6390625000000001</v>
      </c>
      <c r="K27" s="8">
        <f>J27-(H27/D27-1)</f>
        <v>0.4901486435400475</v>
      </c>
      <c r="L27" s="8"/>
      <c r="M27" s="9">
        <f>1+J27</f>
        <v>1.6390625</v>
      </c>
      <c r="N27" s="9">
        <f>1+K27</f>
        <v>1.490148643540048</v>
      </c>
      <c r="O27" s="9"/>
    </row>
    <row r="28" ht="12" customHeight="1">
      <c r="A28" t="s" s="3">
        <v>35</v>
      </c>
      <c r="B28" s="6">
        <v>38912</v>
      </c>
      <c r="C28" s="3">
        <v>48</v>
      </c>
      <c r="D28" s="10">
        <v>1230.04</v>
      </c>
      <c r="E28" s="10"/>
      <c r="F28" s="6">
        <v>39098</v>
      </c>
      <c r="G28" s="3">
        <v>54.89</v>
      </c>
      <c r="H28" s="10">
        <v>1431.9</v>
      </c>
      <c r="I28" s="7"/>
      <c r="J28" s="8">
        <f>(G28+I28)/C28-1</f>
        <v>0.1435416666666667</v>
      </c>
      <c r="K28" s="8">
        <f>J28-(H28/D28-1)</f>
        <v>-0.02056681761026757</v>
      </c>
      <c r="L28" s="8"/>
      <c r="M28" s="9">
        <f>1+J28</f>
        <v>1.143541666666667</v>
      </c>
      <c r="N28" s="9">
        <f>1+K28</f>
        <v>0.9794331823897324</v>
      </c>
      <c r="O28" s="9"/>
    </row>
    <row r="29" ht="12" customHeight="1">
      <c r="A29" t="s" s="3">
        <v>36</v>
      </c>
      <c r="B29" s="6">
        <v>38943</v>
      </c>
      <c r="C29" s="3">
        <v>27.54</v>
      </c>
      <c r="D29" s="10">
        <v>1268.21</v>
      </c>
      <c r="E29" s="10"/>
      <c r="F29" s="6">
        <v>39127</v>
      </c>
      <c r="G29" s="3">
        <v>34.94</v>
      </c>
      <c r="H29" s="10">
        <v>1455.3</v>
      </c>
      <c r="I29" s="7"/>
      <c r="J29" s="8">
        <f>(G29+I29)/C29-1</f>
        <v>0.2687000726216413</v>
      </c>
      <c r="K29" s="8">
        <f>J29-(H29/D29-1)</f>
        <v>0.1211771860334581</v>
      </c>
      <c r="L29" s="8"/>
      <c r="M29" s="9">
        <f>1+J29</f>
        <v>1.268700072621641</v>
      </c>
      <c r="N29" s="9">
        <f>1+K29</f>
        <v>1.121177186033458</v>
      </c>
      <c r="O29" s="9"/>
    </row>
    <row r="30" ht="12" customHeight="1">
      <c r="A30" t="s" s="3">
        <v>37</v>
      </c>
      <c r="B30" s="6">
        <v>38975</v>
      </c>
      <c r="C30" s="3">
        <v>10.09</v>
      </c>
      <c r="D30" s="10">
        <v>1319.87</v>
      </c>
      <c r="E30" s="10"/>
      <c r="F30" s="6">
        <v>39155</v>
      </c>
      <c r="G30" s="3">
        <v>9.960000000000001</v>
      </c>
      <c r="H30" s="10">
        <v>1387.17</v>
      </c>
      <c r="I30" s="7"/>
      <c r="J30" s="8">
        <f>(G30+I30)/C30-1</f>
        <v>-0.01288404360753215</v>
      </c>
      <c r="K30" s="8">
        <f>J30-(H30/D30-1)</f>
        <v>-0.06387391382202301</v>
      </c>
      <c r="L30" s="8"/>
      <c r="M30" s="9">
        <f>1+J30</f>
        <v>0.9871159563924679</v>
      </c>
      <c r="N30" s="9">
        <f>1+K30</f>
        <v>0.936126086177977</v>
      </c>
      <c r="O30" s="9"/>
    </row>
    <row r="31" ht="12" customHeight="1">
      <c r="A31" t="s" s="3">
        <v>38</v>
      </c>
      <c r="B31" s="6">
        <v>39005</v>
      </c>
      <c r="C31" s="3">
        <v>18.87</v>
      </c>
      <c r="D31" s="10">
        <v>1365.62</v>
      </c>
      <c r="E31" s="10"/>
      <c r="F31" s="6">
        <v>39188</v>
      </c>
      <c r="G31" s="3">
        <v>22.55</v>
      </c>
      <c r="H31" s="10">
        <v>1468.33</v>
      </c>
      <c r="I31" s="7">
        <v>0.01</v>
      </c>
      <c r="J31" s="8">
        <f>(G31+I31)/C31-1</f>
        <v>0.1955484896661368</v>
      </c>
      <c r="K31" s="8">
        <f>J31-(H31/D31-1)</f>
        <v>0.1203372303114114</v>
      </c>
      <c r="L31" s="8"/>
      <c r="M31" s="9">
        <f>1+J31</f>
        <v>1.195548489666137</v>
      </c>
      <c r="N31" s="9">
        <f>1+K31</f>
        <v>1.120337230311411</v>
      </c>
      <c r="O31" s="9"/>
    </row>
    <row r="32" ht="12" customHeight="1">
      <c r="A32" t="s" s="3">
        <v>39</v>
      </c>
      <c r="B32" s="6">
        <v>39035</v>
      </c>
      <c r="C32" s="3">
        <v>25.94</v>
      </c>
      <c r="D32" s="10">
        <v>1393.22</v>
      </c>
      <c r="E32" s="10"/>
      <c r="F32" s="6">
        <v>39216</v>
      </c>
      <c r="G32" s="3">
        <v>36.08</v>
      </c>
      <c r="H32" s="10">
        <v>1503.15</v>
      </c>
      <c r="I32" s="7">
        <f>0.3425*2</f>
        <v>0.6850000000000001</v>
      </c>
      <c r="J32" s="8">
        <f>(G32+I32)/C32-1</f>
        <v>0.4173091750192752</v>
      </c>
      <c r="K32" s="8">
        <f>J32-(H32/D32-1)</f>
        <v>0.3384056278407965</v>
      </c>
      <c r="L32" s="8"/>
      <c r="M32" s="9">
        <f>1+J32</f>
        <v>1.417309175019275</v>
      </c>
      <c r="N32" s="9">
        <f>1+K32</f>
        <v>1.338405627840797</v>
      </c>
      <c r="O32" s="9"/>
    </row>
    <row r="33" ht="12" customHeight="1">
      <c r="A33" t="s" s="3">
        <v>22</v>
      </c>
      <c r="B33" s="6">
        <v>39065</v>
      </c>
      <c r="C33" s="3">
        <v>20.93</v>
      </c>
      <c r="D33" s="10">
        <v>1425.49</v>
      </c>
      <c r="E33" s="10"/>
      <c r="F33" s="6">
        <v>39247</v>
      </c>
      <c r="G33" s="3">
        <v>20.74</v>
      </c>
      <c r="H33" s="10">
        <v>1522.97</v>
      </c>
      <c r="I33" s="7">
        <v>0.4</v>
      </c>
      <c r="J33" s="8">
        <f>(G33+I33)/C33-1</f>
        <v>0.01003344481605328</v>
      </c>
      <c r="K33" s="8">
        <f>J33-(H33/D33-1)</f>
        <v>-0.05835005840038465</v>
      </c>
      <c r="L33" s="8"/>
      <c r="M33" s="9">
        <f>1+J33</f>
        <v>1.010033444816053</v>
      </c>
      <c r="N33" s="9">
        <f>1+K33</f>
        <v>0.9416499415996153</v>
      </c>
      <c r="O33" s="9"/>
    </row>
    <row r="34" ht="12" customHeight="1">
      <c r="A34" t="s" s="3">
        <v>40</v>
      </c>
      <c r="B34" s="6">
        <v>39094</v>
      </c>
      <c r="C34" s="3">
        <v>11.65</v>
      </c>
      <c r="D34" s="10">
        <v>1430.73</v>
      </c>
      <c r="E34" s="10"/>
      <c r="F34" s="6">
        <v>39275</v>
      </c>
      <c r="G34" s="3">
        <v>12.75</v>
      </c>
      <c r="H34" s="10">
        <v>1533.35</v>
      </c>
      <c r="I34" s="7"/>
      <c r="J34" s="8">
        <f>(G34+I34)/C34-1</f>
        <v>0.09442060085836901</v>
      </c>
      <c r="K34" s="8">
        <f>J34-(H34/D34-1)</f>
        <v>0.02269497827409395</v>
      </c>
      <c r="L34" s="8"/>
      <c r="M34" s="9">
        <f>1+J34</f>
        <v>1.094420600858369</v>
      </c>
      <c r="N34" s="9">
        <f>1+K34</f>
        <v>1.022694978274094</v>
      </c>
      <c r="O34" s="9"/>
    </row>
    <row r="35" ht="12" customHeight="1">
      <c r="A35" t="s" s="3">
        <v>41</v>
      </c>
      <c r="B35" s="6">
        <v>39127</v>
      </c>
      <c r="C35" s="3">
        <v>15.06</v>
      </c>
      <c r="D35" s="10">
        <v>1455.3</v>
      </c>
      <c r="E35" s="10"/>
      <c r="F35" s="6">
        <v>39308</v>
      </c>
      <c r="G35" s="3">
        <v>13.26</v>
      </c>
      <c r="H35" s="10">
        <v>1426.54</v>
      </c>
      <c r="I35" s="7"/>
      <c r="J35" s="8">
        <f>(G35+I35)/C35-1</f>
        <v>-0.1195219123505976</v>
      </c>
      <c r="K35" s="8">
        <f>J35-(H35/D35-1)</f>
        <v>-0.09975966401692071</v>
      </c>
      <c r="L35" s="8"/>
      <c r="M35" s="9">
        <f>1+J35</f>
        <v>0.8804780876494024</v>
      </c>
      <c r="N35" s="9">
        <f>1+K35</f>
        <v>0.9002403359830793</v>
      </c>
      <c r="O35" s="9"/>
    </row>
    <row r="36" ht="12" customHeight="1">
      <c r="A36" t="s" s="3">
        <v>42</v>
      </c>
      <c r="B36" s="6">
        <v>39155</v>
      </c>
      <c r="C36" s="3">
        <v>31.83</v>
      </c>
      <c r="D36" s="10">
        <v>1387.17</v>
      </c>
      <c r="E36" s="10"/>
      <c r="F36" s="6">
        <v>39339</v>
      </c>
      <c r="G36" s="3">
        <v>37.11</v>
      </c>
      <c r="H36" s="10">
        <v>1484.25</v>
      </c>
      <c r="I36" s="7">
        <v>0.18</v>
      </c>
      <c r="J36" s="8">
        <f>(G36+I36)/C36-1</f>
        <v>0.171536286522149</v>
      </c>
      <c r="K36" s="8">
        <f>J36-(H36/D36-1)</f>
        <v>0.1015520740608069</v>
      </c>
      <c r="L36" s="8"/>
      <c r="M36" s="9">
        <f>1+J36</f>
        <v>1.171536286522149</v>
      </c>
      <c r="N36" s="9">
        <f>1+K36</f>
        <v>1.101552074060807</v>
      </c>
      <c r="O36" s="9"/>
    </row>
    <row r="37" ht="12" customHeight="1">
      <c r="A37" t="s" s="3">
        <v>43</v>
      </c>
      <c r="B37" s="6">
        <v>39185</v>
      </c>
      <c r="C37" s="3">
        <v>71.17</v>
      </c>
      <c r="D37" s="10">
        <v>1452.85</v>
      </c>
      <c r="E37" s="10"/>
      <c r="F37" s="6">
        <v>39370</v>
      </c>
      <c r="G37" s="3">
        <v>113.9</v>
      </c>
      <c r="H37" s="10">
        <v>1548.71</v>
      </c>
      <c r="I37" s="7">
        <f t="shared" si="121" ref="I37:I112">0.3125*2</f>
        <v>0.625</v>
      </c>
      <c r="J37" s="8">
        <f>(G37+I37)/C37-1</f>
        <v>0.6091752142756779</v>
      </c>
      <c r="K37" s="8">
        <f>J37-(H37/D37-1)</f>
        <v>0.5431945555703743</v>
      </c>
      <c r="L37" s="8"/>
      <c r="M37" s="9">
        <f>1+J37</f>
        <v>1.609175214275678</v>
      </c>
      <c r="N37" s="9">
        <f>1+K37</f>
        <v>1.543194555570374</v>
      </c>
      <c r="O37" s="9"/>
    </row>
    <row r="38" ht="12" customHeight="1">
      <c r="A38" t="s" s="3">
        <v>44</v>
      </c>
      <c r="B38" s="6">
        <v>39218</v>
      </c>
      <c r="C38" s="3">
        <v>9.68</v>
      </c>
      <c r="D38" s="10">
        <v>1514.14</v>
      </c>
      <c r="E38" s="10"/>
      <c r="F38" s="6">
        <v>39402</v>
      </c>
      <c r="G38" s="3">
        <v>7.41</v>
      </c>
      <c r="H38" s="10">
        <v>1458.74</v>
      </c>
      <c r="I38" s="7"/>
      <c r="J38" s="8">
        <f>(G38+I38)/C38-1</f>
        <v>-0.2345041322314049</v>
      </c>
      <c r="K38" s="8">
        <f>J38-(H38/D38-1)</f>
        <v>-0.1979157057979178</v>
      </c>
      <c r="L38" s="8"/>
      <c r="M38" s="9">
        <f>1+J38</f>
        <v>0.7654958677685951</v>
      </c>
      <c r="N38" s="9">
        <f>1+K38</f>
        <v>0.8020842942020822</v>
      </c>
      <c r="O38" s="9"/>
    </row>
    <row r="39" ht="12" customHeight="1">
      <c r="A39" t="s" s="3">
        <v>45</v>
      </c>
      <c r="B39" s="6">
        <v>39248</v>
      </c>
      <c r="C39" s="3">
        <v>52.79</v>
      </c>
      <c r="D39" s="10">
        <v>1532.91</v>
      </c>
      <c r="E39" s="10"/>
      <c r="F39" s="6">
        <v>39433</v>
      </c>
      <c r="G39" s="3">
        <v>60.31</v>
      </c>
      <c r="H39" s="10">
        <v>1445.9</v>
      </c>
      <c r="I39" s="7">
        <v>0.3</v>
      </c>
      <c r="J39" s="8">
        <f>(G39+I39)/C39-1</f>
        <v>0.1481341163099072</v>
      </c>
      <c r="K39" s="8">
        <f>J39-(H39/D39-1)</f>
        <v>0.2048954395448004</v>
      </c>
      <c r="L39" s="8"/>
      <c r="M39" s="9">
        <f>1+J39</f>
        <v>1.148134116309907</v>
      </c>
      <c r="N39" s="9">
        <f>1+K39</f>
        <v>1.2048954395448</v>
      </c>
      <c r="O39" s="9"/>
    </row>
    <row r="40" ht="12" customHeight="1">
      <c r="A40" t="s" s="3">
        <v>46</v>
      </c>
      <c r="B40" s="6">
        <v>39275</v>
      </c>
      <c r="C40" s="3">
        <v>26.34</v>
      </c>
      <c r="D40" s="10">
        <v>1547.7</v>
      </c>
      <c r="E40" s="10"/>
      <c r="F40" s="6">
        <v>39461</v>
      </c>
      <c r="G40" s="3">
        <v>13.56</v>
      </c>
      <c r="H40" s="10">
        <v>1416.25</v>
      </c>
      <c r="I40" s="7">
        <v>0.12</v>
      </c>
      <c r="J40" s="8">
        <f>(G40+I40)/C40-1</f>
        <v>-0.4806378132118451</v>
      </c>
      <c r="K40" s="8">
        <f>J40-(H40/D40-1)</f>
        <v>-0.3957053327569765</v>
      </c>
      <c r="L40" s="8"/>
      <c r="M40" s="9">
        <f>1+J40</f>
        <v>0.5193621867881549</v>
      </c>
      <c r="N40" s="9">
        <f>1+K40</f>
        <v>0.6042946672430235</v>
      </c>
      <c r="O40" s="9"/>
    </row>
    <row r="41" ht="12" customHeight="1">
      <c r="A41" t="s" s="3">
        <v>47</v>
      </c>
      <c r="B41" s="6">
        <v>39309</v>
      </c>
      <c r="C41" s="3">
        <v>32.96</v>
      </c>
      <c r="D41" s="10">
        <v>1406.7</v>
      </c>
      <c r="E41" s="10"/>
      <c r="F41" s="6">
        <v>39492</v>
      </c>
      <c r="G41" s="3">
        <v>35.35</v>
      </c>
      <c r="H41" s="10">
        <v>1355.24</v>
      </c>
      <c r="I41" s="7">
        <v>0.28</v>
      </c>
      <c r="J41" s="8">
        <f>(G41+I41)/C41-1</f>
        <v>0.0810072815533982</v>
      </c>
      <c r="K41" s="8">
        <f>J41-(H41/D41-1)</f>
        <v>0.1175893530682912</v>
      </c>
      <c r="L41" s="8"/>
      <c r="M41" s="9">
        <f>1+J41</f>
        <v>1.081007281553398</v>
      </c>
      <c r="N41" s="9">
        <f>1+K41</f>
        <v>1.117589353068291</v>
      </c>
      <c r="O41" s="9"/>
    </row>
    <row r="42" ht="12" customHeight="1">
      <c r="A42" t="s" s="3">
        <v>48</v>
      </c>
      <c r="B42" s="6">
        <v>39339</v>
      </c>
      <c r="C42" s="3">
        <v>44.65</v>
      </c>
      <c r="D42" s="10">
        <v>1484.25</v>
      </c>
      <c r="E42" s="10"/>
      <c r="F42" s="6">
        <v>39521</v>
      </c>
      <c r="G42" s="3">
        <v>39.18</v>
      </c>
      <c r="H42" s="10">
        <v>1288.14</v>
      </c>
      <c r="I42" s="7">
        <v>0.16</v>
      </c>
      <c r="J42" s="8">
        <f>(G42+I42)/C42-1</f>
        <v>-0.1189249720044794</v>
      </c>
      <c r="K42" s="8">
        <f>J42-(H42/D42-1)</f>
        <v>0.01320236503442906</v>
      </c>
      <c r="L42" s="8"/>
      <c r="M42" s="9">
        <f>1+J42</f>
        <v>0.8810750279955206</v>
      </c>
      <c r="N42" s="9">
        <f>1+K42</f>
        <v>1.013202365034429</v>
      </c>
      <c r="O42" s="9"/>
    </row>
    <row r="43" ht="12" customHeight="1">
      <c r="A43" t="s" s="3">
        <v>49</v>
      </c>
      <c r="B43" s="6">
        <v>39367</v>
      </c>
      <c r="C43" s="3">
        <v>27.65</v>
      </c>
      <c r="D43" s="10">
        <v>1561.8</v>
      </c>
      <c r="E43" s="10"/>
      <c r="F43" s="6">
        <v>39552</v>
      </c>
      <c r="G43" s="3">
        <v>28.13</v>
      </c>
      <c r="H43" s="10">
        <v>1328.32</v>
      </c>
      <c r="I43" s="8"/>
      <c r="J43" s="8">
        <f>(G43+I43)/C43-1</f>
        <v>0.01735985533453888</v>
      </c>
      <c r="K43" s="8">
        <f>J43-(H43/D43-1)</f>
        <v>0.1668540287242175</v>
      </c>
      <c r="L43" s="8"/>
      <c r="M43" s="9">
        <f>1+J43</f>
        <v>1.017359855334539</v>
      </c>
      <c r="N43" s="9">
        <f>1+K43</f>
        <v>1.166854028724218</v>
      </c>
      <c r="O43" s="9"/>
    </row>
    <row r="44" ht="12" customHeight="1">
      <c r="A44" t="s" s="3">
        <v>50</v>
      </c>
      <c r="B44" s="6">
        <v>39401</v>
      </c>
      <c r="C44" s="3">
        <v>37.04</v>
      </c>
      <c r="D44" s="10">
        <v>1451.15</v>
      </c>
      <c r="E44" s="10"/>
      <c r="F44" s="6">
        <v>39583</v>
      </c>
      <c r="G44" s="3">
        <v>49.86</v>
      </c>
      <c r="H44" s="10">
        <v>1423.57</v>
      </c>
      <c r="I44" s="7">
        <v>0.26</v>
      </c>
      <c r="J44" s="8">
        <f>(G44+I44)/C44-1</f>
        <v>0.3531317494600432</v>
      </c>
      <c r="K44" s="8">
        <f>J44-(H44/D44-1)</f>
        <v>0.3721373656954429</v>
      </c>
      <c r="L44" s="8"/>
      <c r="M44" s="9">
        <f>1+J44</f>
        <v>1.353131749460043</v>
      </c>
      <c r="N44" s="9">
        <f>1+K44</f>
        <v>1.372137365695443</v>
      </c>
      <c r="O44" s="9"/>
    </row>
    <row r="45" ht="12" customHeight="1">
      <c r="A45" t="s" s="3">
        <v>51</v>
      </c>
      <c r="B45" s="6">
        <v>39430</v>
      </c>
      <c r="C45" s="3">
        <v>48.95</v>
      </c>
      <c r="D45" s="10">
        <v>1467.95</v>
      </c>
      <c r="E45" s="10"/>
      <c r="F45" s="6">
        <v>39615</v>
      </c>
      <c r="G45" s="3">
        <v>39.85</v>
      </c>
      <c r="H45" s="10">
        <v>1360.14</v>
      </c>
      <c r="I45" s="7">
        <v>0.27</v>
      </c>
      <c r="J45" s="8">
        <f>(G45+I45)/C45-1</f>
        <v>-0.180388151174668</v>
      </c>
      <c r="K45" s="8">
        <f>J45-(H45/D45-1)</f>
        <v>-0.106945595229302</v>
      </c>
      <c r="L45" s="8"/>
      <c r="M45" s="9">
        <f>1+J45</f>
        <v>0.819611848825332</v>
      </c>
      <c r="N45" s="9">
        <f>1+K45</f>
        <v>0.893054404770698</v>
      </c>
      <c r="O45" s="9"/>
    </row>
    <row r="46" ht="12" customHeight="1">
      <c r="A46" t="s" s="3">
        <v>52</v>
      </c>
      <c r="B46" s="6">
        <v>39471</v>
      </c>
      <c r="C46" s="3">
        <v>39.35</v>
      </c>
      <c r="D46" s="10">
        <v>1352.07</v>
      </c>
      <c r="E46" s="10"/>
      <c r="F46" s="6">
        <v>39653</v>
      </c>
      <c r="G46" s="3">
        <v>42.82</v>
      </c>
      <c r="H46" s="10">
        <v>1252.54</v>
      </c>
      <c r="I46" s="7">
        <v>0.14</v>
      </c>
      <c r="J46" s="8">
        <f>(G46+I46)/C46-1</f>
        <v>0.09174078780177886</v>
      </c>
      <c r="K46" s="8">
        <f>J46-(H46/D46-1)</f>
        <v>0.1653538403804176</v>
      </c>
      <c r="L46" s="8"/>
      <c r="M46" s="9">
        <f>1+J46</f>
        <v>1.091740787801779</v>
      </c>
      <c r="N46" s="9">
        <f>1+K46</f>
        <v>1.165353840380418</v>
      </c>
      <c r="O46" s="9"/>
    </row>
    <row r="47" ht="12" customHeight="1">
      <c r="A47" t="s" s="3">
        <v>53</v>
      </c>
      <c r="B47" s="6">
        <v>39495</v>
      </c>
      <c r="C47" s="10">
        <v>15.57</v>
      </c>
      <c r="D47" s="3">
        <v>1349.99</v>
      </c>
      <c r="E47" s="10"/>
      <c r="F47" s="6">
        <v>39678</v>
      </c>
      <c r="G47" s="3">
        <v>4.46</v>
      </c>
      <c r="H47" s="10">
        <v>1278.6</v>
      </c>
      <c r="I47" s="8"/>
      <c r="J47" s="8">
        <f>(G47+I47)/C47-1</f>
        <v>-0.7135517019910084</v>
      </c>
      <c r="K47" s="8">
        <f>J47-(H47/D47-1)</f>
        <v>-0.6606698287919476</v>
      </c>
      <c r="L47" s="8"/>
      <c r="M47" s="9">
        <f>1+J47</f>
        <v>0.2864482980089916</v>
      </c>
      <c r="N47" s="9">
        <f>1+K47</f>
        <v>0.3393301712080524</v>
      </c>
      <c r="O47" s="9"/>
    </row>
    <row r="48" ht="12" customHeight="1">
      <c r="A48" t="s" s="3">
        <v>54</v>
      </c>
      <c r="B48" s="6">
        <v>39524</v>
      </c>
      <c r="C48" s="3">
        <v>69.97</v>
      </c>
      <c r="D48" s="10">
        <v>1276.6</v>
      </c>
      <c r="E48" s="10"/>
      <c r="F48" s="6">
        <v>39706</v>
      </c>
      <c r="G48" s="3">
        <f>20.91+53.38</f>
        <v>74.29000000000001</v>
      </c>
      <c r="H48" s="10">
        <v>1192.69</v>
      </c>
      <c r="I48" s="7">
        <v>1.61</v>
      </c>
      <c r="J48" s="8">
        <f>(G48+I48)/C48-1</f>
        <v>0.08475060740317297</v>
      </c>
      <c r="K48" s="8">
        <f>J48-(H48/D48-1)</f>
        <v>0.1504798883055699</v>
      </c>
      <c r="L48" s="8"/>
      <c r="M48" s="9">
        <f>1+J48</f>
        <v>1.084750607403173</v>
      </c>
      <c r="N48" s="9">
        <f>1+K48</f>
        <v>1.15047988830557</v>
      </c>
      <c r="O48" s="9"/>
    </row>
    <row r="49" ht="12" customHeight="1">
      <c r="A49" t="s" s="3">
        <v>55</v>
      </c>
      <c r="B49" s="6">
        <v>39555</v>
      </c>
      <c r="C49" s="3">
        <v>18.01</v>
      </c>
      <c r="D49" s="10">
        <v>1365.56</v>
      </c>
      <c r="E49" s="10"/>
      <c r="F49" s="6">
        <v>39738</v>
      </c>
      <c r="G49" s="3">
        <v>18.1</v>
      </c>
      <c r="H49" s="10">
        <v>940.55</v>
      </c>
      <c r="I49" s="7">
        <v>0.36</v>
      </c>
      <c r="J49" s="8">
        <f>(G49+I49)/C49-1</f>
        <v>0.02498611882287616</v>
      </c>
      <c r="K49" s="8">
        <f>J49-(H49/D49-1)</f>
        <v>0.3362210700516761</v>
      </c>
      <c r="L49" s="8"/>
      <c r="M49" s="9">
        <f>1+J49</f>
        <v>1.024986118822876</v>
      </c>
      <c r="N49" s="9">
        <f>1+K49</f>
        <v>1.336221070051676</v>
      </c>
      <c r="O49" s="9"/>
    </row>
    <row r="50" ht="12" customHeight="1">
      <c r="A50" t="s" s="3">
        <v>56</v>
      </c>
      <c r="B50" s="6">
        <v>39586</v>
      </c>
      <c r="C50" s="3">
        <v>49.41</v>
      </c>
      <c r="D50" s="10">
        <v>1425.35</v>
      </c>
      <c r="E50" s="10"/>
      <c r="F50" s="6">
        <v>39770</v>
      </c>
      <c r="G50" s="3">
        <v>26.18</v>
      </c>
      <c r="H50" s="10">
        <v>859.12</v>
      </c>
      <c r="I50" s="7">
        <v>0.06</v>
      </c>
      <c r="J50" s="8">
        <f>(G50+I50)/C50-1</f>
        <v>-0.4689334142886056</v>
      </c>
      <c r="K50" s="8">
        <f>J50-(H50/D50-1)</f>
        <v>-0.07167660017277444</v>
      </c>
      <c r="L50" s="8"/>
      <c r="M50" s="9">
        <f>1+J50</f>
        <v>0.5310665857113944</v>
      </c>
      <c r="N50" s="9">
        <f>1+K50</f>
        <v>0.9283233998272256</v>
      </c>
      <c r="O50" s="9"/>
    </row>
    <row r="51" ht="12" customHeight="1">
      <c r="A51" t="s" s="3">
        <v>57</v>
      </c>
      <c r="B51" s="6">
        <v>39621</v>
      </c>
      <c r="C51" s="3">
        <v>70.91</v>
      </c>
      <c r="D51" s="10">
        <v>1317.93</v>
      </c>
      <c r="E51" s="10"/>
      <c r="F51" s="6">
        <v>39804</v>
      </c>
      <c r="G51" s="3">
        <v>57.31</v>
      </c>
      <c r="H51" s="10">
        <v>871.63</v>
      </c>
      <c r="I51" s="7">
        <f>0.92*2</f>
        <v>1.84</v>
      </c>
      <c r="J51" s="8">
        <f>(G51+I51)/C51-1</f>
        <v>-0.1658440276406712</v>
      </c>
      <c r="K51" s="8">
        <f>J51-(H51/D51-1)</f>
        <v>0.172793077516659</v>
      </c>
      <c r="L51" s="8"/>
      <c r="M51" s="9">
        <f>1+J51</f>
        <v>0.8341559723593288</v>
      </c>
      <c r="N51" s="9">
        <f>1+K51</f>
        <v>1.172793077516659</v>
      </c>
      <c r="O51" s="9"/>
    </row>
    <row r="52" ht="12" customHeight="1">
      <c r="A52" t="s" s="3">
        <v>58</v>
      </c>
      <c r="B52" s="6">
        <v>39650</v>
      </c>
      <c r="C52" s="3">
        <v>19.84</v>
      </c>
      <c r="D52" s="10">
        <v>1260</v>
      </c>
      <c r="E52" s="10"/>
      <c r="F52" s="6">
        <v>39468</v>
      </c>
      <c r="G52" s="3">
        <v>16.18</v>
      </c>
      <c r="H52" s="10">
        <v>840.24</v>
      </c>
      <c r="I52" s="7">
        <v>0.1</v>
      </c>
      <c r="J52" s="8">
        <f>(G52+I52)/C52-1</f>
        <v>-0.1794354838709676</v>
      </c>
      <c r="K52" s="8">
        <f>J52-(H52/D52-1)</f>
        <v>0.1537073732718895</v>
      </c>
      <c r="L52" s="8"/>
      <c r="M52" s="9">
        <f>1+J52</f>
        <v>0.8205645161290324</v>
      </c>
      <c r="N52" s="9">
        <f>1+K52</f>
        <v>1.15370737327189</v>
      </c>
      <c r="O52" s="9"/>
    </row>
    <row r="53" ht="12" customHeight="1">
      <c r="A53" t="s" s="3">
        <v>59</v>
      </c>
      <c r="B53" s="6">
        <v>39682</v>
      </c>
      <c r="C53" s="3">
        <v>17.22</v>
      </c>
      <c r="D53" s="10">
        <v>1292.2</v>
      </c>
      <c r="E53" s="10"/>
      <c r="F53" s="6">
        <v>39866</v>
      </c>
      <c r="G53" s="3">
        <v>14.92</v>
      </c>
      <c r="H53" s="10">
        <v>743.33</v>
      </c>
      <c r="I53" s="8"/>
      <c r="J53" s="8">
        <f>(G53+I53)/C53-1</f>
        <v>-0.1335656213704993</v>
      </c>
      <c r="K53" s="8">
        <f>J53-(H53/D53-1)</f>
        <v>0.2911906083153079</v>
      </c>
      <c r="L53" s="8"/>
      <c r="M53" s="9">
        <f>1+J53</f>
        <v>0.8664343786295007</v>
      </c>
      <c r="N53" s="9">
        <f>1+K53</f>
        <v>1.291190608315308</v>
      </c>
      <c r="O53" s="9"/>
    </row>
    <row r="54" ht="12" customHeight="1">
      <c r="A54" t="s" s="3">
        <v>60</v>
      </c>
      <c r="B54" s="6">
        <v>39715</v>
      </c>
      <c r="C54" s="3">
        <v>25.72</v>
      </c>
      <c r="D54" s="10">
        <v>1185.86</v>
      </c>
      <c r="E54" s="10"/>
      <c r="F54" s="6">
        <v>39896</v>
      </c>
      <c r="G54" s="3">
        <v>17.93</v>
      </c>
      <c r="H54" s="10">
        <v>806.25</v>
      </c>
      <c r="I54" s="7">
        <v>0.26</v>
      </c>
      <c r="J54" s="8">
        <f>(G54+I54)/C54-1</f>
        <v>-0.2927682737169517</v>
      </c>
      <c r="K54" s="8">
        <f>J54-(H54/D54-1)</f>
        <v>0.02734539906061051</v>
      </c>
      <c r="L54" s="8"/>
      <c r="M54" s="11">
        <f>1+J54</f>
        <v>0.7072317262830483</v>
      </c>
      <c r="N54" s="9">
        <f>1+K54</f>
        <v>1.027345399060611</v>
      </c>
      <c r="O54" s="9"/>
    </row>
    <row r="55" ht="12" customHeight="1">
      <c r="A55" t="s" s="3">
        <v>61</v>
      </c>
      <c r="B55" s="6">
        <v>39741</v>
      </c>
      <c r="C55" s="3">
        <v>15.47</v>
      </c>
      <c r="D55" s="10">
        <v>985.4</v>
      </c>
      <c r="E55" s="10"/>
      <c r="F55" s="6">
        <v>39931</v>
      </c>
      <c r="G55" s="3">
        <v>16.21</v>
      </c>
      <c r="H55" s="10">
        <v>857.11</v>
      </c>
      <c r="I55" s="8"/>
      <c r="J55" s="8">
        <f>(G55+I55)/C55-1</f>
        <v>0.04783451842275377</v>
      </c>
      <c r="K55" s="8">
        <f>J55-(H55/D55-1)</f>
        <v>0.178025303890584</v>
      </c>
      <c r="L55" s="8"/>
      <c r="M55" s="11">
        <f>1+J55</f>
        <v>1.047834518422754</v>
      </c>
      <c r="N55" s="9">
        <f>1+K55</f>
        <v>1.178025303890584</v>
      </c>
      <c r="O55" s="9"/>
    </row>
    <row r="56" ht="12" customHeight="1">
      <c r="A56" t="s" s="3">
        <v>62</v>
      </c>
      <c r="B56" s="6">
        <v>39776</v>
      </c>
      <c r="C56" s="3">
        <v>16.68</v>
      </c>
      <c r="D56" s="10">
        <v>851.8099999999999</v>
      </c>
      <c r="E56" s="10"/>
      <c r="F56" s="6">
        <v>39959</v>
      </c>
      <c r="G56" s="3">
        <v>25.51</v>
      </c>
      <c r="H56" s="10">
        <v>910.33</v>
      </c>
      <c r="I56" s="8"/>
      <c r="J56" s="8">
        <f>(G56+I56)/C56-1</f>
        <v>0.5293764988009593</v>
      </c>
      <c r="K56" s="8">
        <f>J56-(H56/D56-1)</f>
        <v>0.4606757321980783</v>
      </c>
      <c r="L56" s="8"/>
      <c r="M56" s="11">
        <f>1+J56</f>
        <v>1.529376498800959</v>
      </c>
      <c r="N56" s="9">
        <f>1+K56</f>
        <v>1.460675732198078</v>
      </c>
      <c r="O56" s="9"/>
    </row>
    <row r="57" ht="12" customHeight="1">
      <c r="A57" t="s" s="3">
        <v>63</v>
      </c>
      <c r="B57" s="6">
        <v>39804</v>
      </c>
      <c r="C57" s="3">
        <v>17.05</v>
      </c>
      <c r="D57" s="10">
        <v>871.63</v>
      </c>
      <c r="E57" s="10"/>
      <c r="F57" s="6">
        <v>39986</v>
      </c>
      <c r="G57" s="3">
        <v>21.22</v>
      </c>
      <c r="H57" s="10">
        <v>893.04</v>
      </c>
      <c r="I57" s="8"/>
      <c r="J57" s="8">
        <f>(G57+I57)/C57-1</f>
        <v>0.2445747800586509</v>
      </c>
      <c r="K57" s="8">
        <f>J57-(H57/D57-1)</f>
        <v>0.2200116053170749</v>
      </c>
      <c r="L57" s="8"/>
      <c r="M57" s="11">
        <f>1+J57</f>
        <v>1.244574780058651</v>
      </c>
      <c r="N57" s="9">
        <f>1+K57</f>
        <v>1.220011605317075</v>
      </c>
      <c r="O57" s="9"/>
    </row>
    <row r="58" ht="12" customHeight="1">
      <c r="A58" t="s" s="3">
        <v>64</v>
      </c>
      <c r="B58" s="6">
        <v>39839</v>
      </c>
      <c r="C58" s="3">
        <v>40.9</v>
      </c>
      <c r="D58" s="10">
        <v>836.5700000000001</v>
      </c>
      <c r="E58" s="10"/>
      <c r="F58" s="6">
        <v>40021</v>
      </c>
      <c r="G58" s="3">
        <v>34.75</v>
      </c>
      <c r="H58" s="10">
        <v>982.1799999999999</v>
      </c>
      <c r="I58" s="7">
        <v>1.01</v>
      </c>
      <c r="J58" s="8">
        <f>(G58+I58)/C58-1</f>
        <v>-0.1256723716381418</v>
      </c>
      <c r="K58" s="8">
        <f>J58-(H58/D58-1)</f>
        <v>-0.2997283382637677</v>
      </c>
      <c r="L58" s="8"/>
      <c r="M58" s="11">
        <f>1+J58</f>
        <v>0.8743276283618582</v>
      </c>
      <c r="N58" s="9">
        <f>1+K58</f>
        <v>0.7002716617362323</v>
      </c>
      <c r="O58" s="9"/>
    </row>
    <row r="59" ht="12" customHeight="1">
      <c r="A59" t="s" s="3">
        <v>65</v>
      </c>
      <c r="B59" s="6">
        <v>39871</v>
      </c>
      <c r="C59" s="3">
        <v>33.47</v>
      </c>
      <c r="D59" s="10">
        <v>735.09</v>
      </c>
      <c r="E59" s="10"/>
      <c r="F59" s="6">
        <v>40045</v>
      </c>
      <c r="G59" s="3">
        <v>46.48</v>
      </c>
      <c r="H59" s="10">
        <v>1007.37</v>
      </c>
      <c r="I59" s="7"/>
      <c r="J59" s="8">
        <f>(G59+I59)/C59-1</f>
        <v>0.3887063041529728</v>
      </c>
      <c r="K59" s="8">
        <f>J59-(H59/D59-1)</f>
        <v>0.0183026801069377</v>
      </c>
      <c r="L59" s="8"/>
      <c r="M59" s="11">
        <f>1+J59</f>
        <v>1.388706304152973</v>
      </c>
      <c r="N59" s="9">
        <f>1+K59</f>
        <v>1.018302680106938</v>
      </c>
      <c r="O59" s="9"/>
    </row>
    <row r="60" ht="12" customHeight="1">
      <c r="A60" t="s" s="3">
        <v>66</v>
      </c>
      <c r="B60" s="6">
        <v>39898</v>
      </c>
      <c r="C60" s="3">
        <v>15.85</v>
      </c>
      <c r="D60" s="10">
        <v>832.86</v>
      </c>
      <c r="E60" s="10"/>
      <c r="F60" s="6">
        <v>40079</v>
      </c>
      <c r="G60" s="3">
        <v>28.74</v>
      </c>
      <c r="H60" s="10">
        <v>1060.87</v>
      </c>
      <c r="I60" s="7">
        <v>0.19</v>
      </c>
      <c r="J60" s="8">
        <f>(G60+I60)/C60-1</f>
        <v>0.825236593059937</v>
      </c>
      <c r="K60" s="8">
        <f>J60-(H60/D60-1)</f>
        <v>0.5514690931199713</v>
      </c>
      <c r="L60" s="8"/>
      <c r="M60" s="11">
        <f>1+J60</f>
        <v>1.825236593059937</v>
      </c>
      <c r="N60" s="9">
        <f>1+K60</f>
        <v>1.551469093119971</v>
      </c>
      <c r="O60" s="9"/>
    </row>
    <row r="61" ht="12" customHeight="1">
      <c r="A61" t="s" s="3">
        <v>67</v>
      </c>
      <c r="B61" s="6">
        <v>39932</v>
      </c>
      <c r="C61" s="3">
        <v>24.31</v>
      </c>
      <c r="D61" s="10">
        <v>873.64</v>
      </c>
      <c r="E61" s="10"/>
      <c r="F61" s="6">
        <v>40051</v>
      </c>
      <c r="G61" s="3">
        <v>57.63</v>
      </c>
      <c r="H61" s="10">
        <v>1028.12</v>
      </c>
      <c r="I61" s="7">
        <v>0.1</v>
      </c>
      <c r="J61" s="8">
        <f>(G61+I61)/C61-1</f>
        <v>1.374742904154669</v>
      </c>
      <c r="K61" s="8">
        <f>J61-(H61/D61-1)</f>
        <v>1.197919498632944</v>
      </c>
      <c r="L61" s="8"/>
      <c r="M61" s="11">
        <f>1+J61</f>
        <v>2.374742904154669</v>
      </c>
      <c r="N61" s="9">
        <f>1+K61</f>
        <v>2.197919498632944</v>
      </c>
      <c r="O61" s="9"/>
    </row>
    <row r="62" ht="12" customHeight="1">
      <c r="A62" t="s" s="3">
        <v>68</v>
      </c>
      <c r="B62" s="6">
        <v>39965</v>
      </c>
      <c r="C62" s="3">
        <v>2</v>
      </c>
      <c r="D62" s="10">
        <v>942.87</v>
      </c>
      <c r="E62" s="10"/>
      <c r="F62" s="6">
        <v>40144</v>
      </c>
      <c r="G62" s="3">
        <v>2.44</v>
      </c>
      <c r="H62" s="10">
        <v>1091.49</v>
      </c>
      <c r="I62" s="7"/>
      <c r="J62" s="8">
        <f>(G62+I62)/C62-1</f>
        <v>0.22</v>
      </c>
      <c r="K62" s="8">
        <f>J62-(H62/D62-1)</f>
        <v>0.06237487670622666</v>
      </c>
      <c r="L62" s="8"/>
      <c r="M62" s="11">
        <f>1+J62</f>
        <v>1.22</v>
      </c>
      <c r="N62" s="9">
        <f>1+K62</f>
        <v>1.062374876706227</v>
      </c>
      <c r="O62" s="9"/>
    </row>
    <row r="63" ht="12" customHeight="1">
      <c r="A63" t="s" s="3">
        <v>69</v>
      </c>
      <c r="B63" s="6">
        <v>39988</v>
      </c>
      <c r="C63" s="3">
        <v>24.79</v>
      </c>
      <c r="D63" s="10">
        <v>900.9400000000001</v>
      </c>
      <c r="E63" s="10"/>
      <c r="F63" s="6">
        <v>40168</v>
      </c>
      <c r="G63" s="3">
        <v>30.37</v>
      </c>
      <c r="H63" s="10">
        <v>1114.05</v>
      </c>
      <c r="I63" s="7">
        <f>2*0.1875</f>
        <v>0.375</v>
      </c>
      <c r="J63" s="8">
        <f>(G63+I63)/C63-1</f>
        <v>0.2402178297700686</v>
      </c>
      <c r="K63" s="8">
        <f>J63-(H63/D63-1)</f>
        <v>0.00367599568566801</v>
      </c>
      <c r="L63" s="8"/>
      <c r="M63" s="11">
        <f>1+J63</f>
        <v>1.240217829770069</v>
      </c>
      <c r="N63" s="9">
        <f>1+K63</f>
        <v>1.003675995685668</v>
      </c>
      <c r="O63" s="9"/>
    </row>
    <row r="64" ht="12" customHeight="1">
      <c r="A64" t="s" s="3">
        <v>70</v>
      </c>
      <c r="B64" s="6">
        <v>40010</v>
      </c>
      <c r="C64" s="3">
        <v>20.13</v>
      </c>
      <c r="D64" s="10">
        <v>940.74</v>
      </c>
      <c r="E64" s="10"/>
      <c r="F64" s="6">
        <v>40197</v>
      </c>
      <c r="G64" s="3">
        <v>25.65</v>
      </c>
      <c r="H64" s="10">
        <v>1150.23</v>
      </c>
      <c r="I64" s="7">
        <f>0.31+0.32</f>
        <v>0.63</v>
      </c>
      <c r="J64" s="8">
        <f>(G64+I64)/C64-1</f>
        <v>0.3055141579731744</v>
      </c>
      <c r="K64" s="8">
        <f>J64-(H64/D64-1)</f>
        <v>0.08282776215711474</v>
      </c>
      <c r="L64" s="8"/>
      <c r="M64" s="11">
        <f>1+J64</f>
        <v>1.305514157973174</v>
      </c>
      <c r="N64" s="9">
        <f>1+K64</f>
        <v>1.082827762157115</v>
      </c>
      <c r="O64" s="9"/>
    </row>
    <row r="65" ht="12" customHeight="1">
      <c r="A65" t="s" s="3">
        <v>71</v>
      </c>
      <c r="B65" s="6">
        <v>40051</v>
      </c>
      <c r="C65" s="3">
        <v>15.76</v>
      </c>
      <c r="D65" s="10">
        <v>1028.12</v>
      </c>
      <c r="E65" s="10"/>
      <c r="F65" s="6">
        <v>40086</v>
      </c>
      <c r="G65" s="3">
        <v>17.66</v>
      </c>
      <c r="H65" s="10">
        <v>1057.07</v>
      </c>
      <c r="I65" s="7">
        <f>0.26</f>
        <v>0.26</v>
      </c>
      <c r="J65" s="8">
        <f>(G65+I65)/C65-1</f>
        <v>0.1370558375634519</v>
      </c>
      <c r="K65" s="8">
        <f>J65-(H65/D65-1)</f>
        <v>0.1088976459126718</v>
      </c>
      <c r="L65" s="8"/>
      <c r="M65" s="11">
        <f>1+J65</f>
        <v>1.137055837563452</v>
      </c>
      <c r="N65" s="9">
        <f>1+K65</f>
        <v>1.108897645912672</v>
      </c>
      <c r="O65" t="s" s="3">
        <v>72</v>
      </c>
    </row>
    <row r="66" ht="12" customHeight="1">
      <c r="A66" t="s" s="3">
        <v>73</v>
      </c>
      <c r="B66" s="6">
        <v>40086</v>
      </c>
      <c r="C66" s="3">
        <v>26.8</v>
      </c>
      <c r="D66" s="10">
        <v>1057.07</v>
      </c>
      <c r="E66" s="10"/>
      <c r="F66" s="6">
        <v>40267</v>
      </c>
      <c r="G66" s="3">
        <f>36.45</f>
        <v>36.45</v>
      </c>
      <c r="H66" s="10">
        <v>1173.27</v>
      </c>
      <c r="I66" s="7">
        <v>0.36</v>
      </c>
      <c r="J66" s="8">
        <f>(G66+I66)/C66-1</f>
        <v>0.3735074626865673</v>
      </c>
      <c r="K66" s="8">
        <f>J66-(H66/D66-1)</f>
        <v>0.263580967752457</v>
      </c>
      <c r="L66" s="8"/>
      <c r="M66" s="11">
        <f>1+J66</f>
        <v>1.373507462686567</v>
      </c>
      <c r="N66" s="9">
        <f>1+K66</f>
        <v>1.263580967752457</v>
      </c>
      <c r="O66" s="9"/>
    </row>
    <row r="67" ht="12" customHeight="1">
      <c r="A67" t="s" s="3">
        <v>74</v>
      </c>
      <c r="B67" s="6">
        <v>40117</v>
      </c>
      <c r="C67" s="3">
        <v>20.81</v>
      </c>
      <c r="D67" s="10">
        <v>1036.18</v>
      </c>
      <c r="E67" s="10"/>
      <c r="F67" s="6">
        <v>40297</v>
      </c>
      <c r="G67" s="3">
        <v>23.86</v>
      </c>
      <c r="H67" s="10">
        <v>1206.78</v>
      </c>
      <c r="I67" s="7">
        <v>0.14</v>
      </c>
      <c r="J67" s="8">
        <f>(G67+I67)/C67-1</f>
        <v>0.1532916866890919</v>
      </c>
      <c r="K67" s="8">
        <f>J67-(H67/D67-1)</f>
        <v>-0.0113515220198197</v>
      </c>
      <c r="L67" s="8"/>
      <c r="M67" s="11">
        <f>1+J67</f>
        <v>1.153291686689092</v>
      </c>
      <c r="N67" s="9">
        <f>1+K67</f>
        <v>0.9886484779801803</v>
      </c>
      <c r="O67" s="9"/>
    </row>
    <row r="68" ht="12" customHeight="1">
      <c r="A68" t="s" s="3">
        <v>75</v>
      </c>
      <c r="B68" s="6">
        <v>40147</v>
      </c>
      <c r="C68" s="3">
        <v>47.85</v>
      </c>
      <c r="D68" s="10">
        <v>1095.63</v>
      </c>
      <c r="E68" s="10"/>
      <c r="F68" s="6">
        <v>40324</v>
      </c>
      <c r="G68" s="3">
        <v>50.79</v>
      </c>
      <c r="H68" s="10">
        <v>1067.95</v>
      </c>
      <c r="I68" s="7"/>
      <c r="J68" s="8">
        <f>(G68+I68)/C68-1</f>
        <v>0.0614420062695924</v>
      </c>
      <c r="K68" s="8">
        <f>J68-(H68/D68-1)</f>
        <v>0.08670600962839059</v>
      </c>
      <c r="L68" s="8"/>
      <c r="M68" s="11">
        <f>1+J68</f>
        <v>1.061442006269592</v>
      </c>
      <c r="N68" s="9">
        <f>1+K68</f>
        <v>1.08670600962839</v>
      </c>
      <c r="O68" s="9"/>
    </row>
    <row r="69" ht="12" customHeight="1">
      <c r="A69" t="s" s="3">
        <v>76</v>
      </c>
      <c r="B69" s="6">
        <v>40178</v>
      </c>
      <c r="C69" s="3">
        <v>20.99</v>
      </c>
      <c r="D69" s="10">
        <v>1115.1</v>
      </c>
      <c r="E69" s="10"/>
      <c r="F69" s="6">
        <v>40359</v>
      </c>
      <c r="G69" s="3">
        <v>24.74</v>
      </c>
      <c r="H69" s="10">
        <v>1030.71</v>
      </c>
      <c r="I69" s="7"/>
      <c r="J69" s="8">
        <f>(G69+I69)/C69-1</f>
        <v>0.1786565030967127</v>
      </c>
      <c r="K69" s="8">
        <f>J69-(H69/D69-1)</f>
        <v>0.2543358143692441</v>
      </c>
      <c r="L69" s="8"/>
      <c r="M69" s="11">
        <f>1+J69</f>
        <v>1.178656503096713</v>
      </c>
      <c r="N69" s="9">
        <f>1+K69</f>
        <v>1.254335814369244</v>
      </c>
      <c r="O69" s="9"/>
    </row>
    <row r="70" ht="12" customHeight="1">
      <c r="A70" t="s" s="3">
        <v>77</v>
      </c>
      <c r="B70" s="6">
        <v>40209</v>
      </c>
      <c r="C70" s="3">
        <v>39.87</v>
      </c>
      <c r="D70" s="10">
        <v>1073.87</v>
      </c>
      <c r="E70" s="10"/>
      <c r="F70" s="6">
        <v>40268</v>
      </c>
      <c r="G70" s="3">
        <v>37.85</v>
      </c>
      <c r="H70" s="10">
        <v>1169.43</v>
      </c>
      <c r="I70" s="7"/>
      <c r="J70" s="8">
        <f>(G70+I70)/C70-1</f>
        <v>-0.05066466014547266</v>
      </c>
      <c r="K70" s="8">
        <f>J70-(H70/D70-1)</f>
        <v>-0.1396512227647843</v>
      </c>
      <c r="L70" s="8"/>
      <c r="M70" s="11">
        <f>1+J70</f>
        <v>0.9493353398545273</v>
      </c>
      <c r="N70" s="9">
        <f>1+K70</f>
        <v>0.8603487772352157</v>
      </c>
      <c r="O70" t="s" s="3">
        <v>78</v>
      </c>
    </row>
    <row r="71" ht="12" customHeight="1">
      <c r="A71" t="s" s="3">
        <v>54</v>
      </c>
      <c r="B71" s="6">
        <v>40237</v>
      </c>
      <c r="C71" s="3">
        <v>20.12</v>
      </c>
      <c r="D71" s="10">
        <v>1104.49</v>
      </c>
      <c r="E71" s="10"/>
      <c r="F71" s="6">
        <v>40420</v>
      </c>
      <c r="G71" s="12">
        <v>22.52</v>
      </c>
      <c r="H71" s="13">
        <v>1048.92</v>
      </c>
      <c r="I71" s="14">
        <v>0.7</v>
      </c>
      <c r="J71" s="15">
        <f>(G71+I71)/C71-1</f>
        <v>0.1540755467196817</v>
      </c>
      <c r="K71" s="15">
        <f>J71-(H71/D71-1)</f>
        <v>0.2043883607786591</v>
      </c>
      <c r="L71" s="8"/>
      <c r="M71" s="11">
        <f>1+J71</f>
        <v>1.154075546719682</v>
      </c>
      <c r="N71" s="9">
        <f>1+K71</f>
        <v>1.204388360778659</v>
      </c>
      <c r="O71" s="9"/>
    </row>
    <row r="72" ht="12" customHeight="1">
      <c r="A72" t="s" s="3">
        <v>79</v>
      </c>
      <c r="B72" s="6">
        <v>40268</v>
      </c>
      <c r="C72" s="3">
        <v>16.64</v>
      </c>
      <c r="D72" s="10">
        <v>1169.43</v>
      </c>
      <c r="E72" s="10"/>
      <c r="F72" s="16">
        <v>40451</v>
      </c>
      <c r="G72" s="17">
        <v>18.25</v>
      </c>
      <c r="H72" s="18">
        <v>1141.2</v>
      </c>
      <c r="I72" s="19"/>
      <c r="J72" s="19">
        <f>(G72+I72)/C72-1</f>
        <v>0.09675480769230771</v>
      </c>
      <c r="K72" s="19">
        <f>J72-(H72/D72-1)</f>
        <v>0.1208947733165863</v>
      </c>
      <c r="L72" s="20"/>
      <c r="M72" s="11">
        <f>1+J72</f>
        <v>1.096754807692308</v>
      </c>
      <c r="N72" s="9">
        <f>1+K72</f>
        <v>1.120894773316586</v>
      </c>
      <c r="O72" s="9"/>
    </row>
    <row r="73" ht="12" customHeight="1">
      <c r="A73" t="s" s="3">
        <v>80</v>
      </c>
      <c r="B73" s="6">
        <v>40298</v>
      </c>
      <c r="C73" s="3">
        <f>23.16</f>
        <v>23.16</v>
      </c>
      <c r="D73" s="10">
        <v>1186.68</v>
      </c>
      <c r="E73" s="10"/>
      <c r="F73" s="16">
        <v>40480</v>
      </c>
      <c r="G73" s="17">
        <f>16.55</f>
        <v>16.55</v>
      </c>
      <c r="H73" s="18">
        <v>1183.26</v>
      </c>
      <c r="I73" s="19"/>
      <c r="J73" s="19">
        <f>(G73+I73)/C73-1</f>
        <v>-0.2854058721934369</v>
      </c>
      <c r="K73" s="19">
        <f>J73-(H73/D73-1)</f>
        <v>-0.2825238821034379</v>
      </c>
      <c r="L73" s="20"/>
      <c r="M73" s="11">
        <f>1+J73</f>
        <v>0.7145941278065631</v>
      </c>
      <c r="N73" s="9">
        <f>1+K73</f>
        <v>0.7174761178965621</v>
      </c>
      <c r="O73" s="9"/>
    </row>
    <row r="74" ht="12" customHeight="1">
      <c r="A74" t="s" s="3">
        <v>81</v>
      </c>
      <c r="B74" s="6">
        <v>40326</v>
      </c>
      <c r="C74" s="3">
        <v>9.970000000000001</v>
      </c>
      <c r="D74" s="10">
        <v>1089.41</v>
      </c>
      <c r="E74" s="10"/>
      <c r="F74" s="16">
        <v>40511</v>
      </c>
      <c r="G74" s="17">
        <f>8.35+(6.25*1.3147/2)</f>
        <v>12.4584375</v>
      </c>
      <c r="H74" s="18">
        <v>1187.76</v>
      </c>
      <c r="I74" s="19"/>
      <c r="J74" s="19">
        <f>(G74+I74)/C74-1</f>
        <v>0.249592527582748</v>
      </c>
      <c r="K74" s="19">
        <f>J74-(H74/D74-1)</f>
        <v>0.1593143035899447</v>
      </c>
      <c r="L74" s="20"/>
      <c r="M74" s="11">
        <f>1+J74</f>
        <v>1.249592527582748</v>
      </c>
      <c r="N74" s="9">
        <f>1+K74</f>
        <v>1.159314303589945</v>
      </c>
      <c r="O74" s="9"/>
    </row>
    <row r="75" ht="12" customHeight="1">
      <c r="A75" t="s" s="3">
        <v>82</v>
      </c>
      <c r="B75" s="6">
        <v>40359</v>
      </c>
      <c r="C75" s="3">
        <v>7.74</v>
      </c>
      <c r="D75" s="10">
        <v>1030.71</v>
      </c>
      <c r="E75" s="10"/>
      <c r="F75" s="16">
        <v>40542</v>
      </c>
      <c r="G75" s="17">
        <f>14.95+19.01/14</f>
        <v>16.30785714285714</v>
      </c>
      <c r="H75" s="18">
        <v>1257.88</v>
      </c>
      <c r="I75" s="19"/>
      <c r="J75" s="19">
        <f>(G75+I75)/C75-1</f>
        <v>1.106958287190845</v>
      </c>
      <c r="K75" s="19">
        <f>J75-(H75/D75-1)</f>
        <v>0.8865568163600583</v>
      </c>
      <c r="L75" s="20"/>
      <c r="M75" s="11">
        <f>1+J75</f>
        <v>2.106958287190845</v>
      </c>
      <c r="N75" s="9">
        <f>1+K75</f>
        <v>1.886556816360058</v>
      </c>
      <c r="O75" s="9"/>
    </row>
    <row r="76" ht="12" customHeight="1">
      <c r="A76" t="s" s="3">
        <v>83</v>
      </c>
      <c r="B76" s="6">
        <v>40389</v>
      </c>
      <c r="C76" s="3">
        <v>2.23</v>
      </c>
      <c r="D76" s="10">
        <v>1101.6</v>
      </c>
      <c r="E76" s="10"/>
      <c r="F76" s="16">
        <v>40206</v>
      </c>
      <c r="G76" s="17">
        <v>2.73</v>
      </c>
      <c r="H76" s="18">
        <v>1276.34</v>
      </c>
      <c r="I76" s="21">
        <v>0.03</v>
      </c>
      <c r="J76" s="19">
        <f>(G76+I76)/C76-1</f>
        <v>0.2376681614349776</v>
      </c>
      <c r="K76" s="19">
        <f>J76-(H76/D76-1)</f>
        <v>0.07904434153664797</v>
      </c>
      <c r="L76" s="20"/>
      <c r="M76" s="11">
        <f>1+J76</f>
        <v>1.237668161434978</v>
      </c>
      <c r="N76" s="9">
        <f>1+K76</f>
        <v>1.079044341536648</v>
      </c>
      <c r="O76" s="9"/>
    </row>
    <row r="77" ht="12" customHeight="1">
      <c r="A77" t="s" s="3">
        <v>84</v>
      </c>
      <c r="B77" s="6">
        <v>40421</v>
      </c>
      <c r="C77" s="3">
        <v>20.3</v>
      </c>
      <c r="D77" s="10">
        <v>1049.33</v>
      </c>
      <c r="E77" s="10"/>
      <c r="F77" s="16">
        <v>40602</v>
      </c>
      <c r="G77" s="17">
        <v>38.08</v>
      </c>
      <c r="H77" s="18">
        <v>1327.22</v>
      </c>
      <c r="I77" s="19"/>
      <c r="J77" s="19">
        <f>(G77+I77)/C77-1</f>
        <v>0.875862068965517</v>
      </c>
      <c r="K77" s="19">
        <f>J77-(H77/D77-1)</f>
        <v>0.6110359418177178</v>
      </c>
      <c r="L77" s="20"/>
      <c r="M77" s="11">
        <f>1+J77</f>
        <v>1.875862068965517</v>
      </c>
      <c r="N77" s="9">
        <f>1+K77</f>
        <v>1.611035941817718</v>
      </c>
      <c r="O77" s="9"/>
    </row>
    <row r="78" ht="12" customHeight="1">
      <c r="A78" t="s" s="3">
        <v>85</v>
      </c>
      <c r="B78" s="6">
        <v>40451</v>
      </c>
      <c r="C78" s="3">
        <v>29.63</v>
      </c>
      <c r="D78" s="10">
        <v>1141.2</v>
      </c>
      <c r="E78" s="10"/>
      <c r="F78" s="16">
        <v>40632</v>
      </c>
      <c r="G78" s="17">
        <v>37.28</v>
      </c>
      <c r="H78" s="18">
        <v>1328.26</v>
      </c>
      <c r="I78" s="19"/>
      <c r="J78" s="19">
        <f>(G78+I78)/C78-1</f>
        <v>0.2581842726965913</v>
      </c>
      <c r="K78" s="19">
        <f>J78-(H78/D78-1)</f>
        <v>0.09426909568993169</v>
      </c>
      <c r="L78" s="20"/>
      <c r="M78" s="11">
        <f>1+J78</f>
        <v>1.258184272696591</v>
      </c>
      <c r="N78" s="9">
        <f>1+K78</f>
        <v>1.094269095689932</v>
      </c>
      <c r="O78" s="9"/>
    </row>
    <row r="79" ht="12" customHeight="1">
      <c r="A79" t="s" s="3">
        <v>86</v>
      </c>
      <c r="B79" s="6">
        <v>40483</v>
      </c>
      <c r="C79" s="3">
        <v>29.09</v>
      </c>
      <c r="D79" s="10">
        <v>1184.38</v>
      </c>
      <c r="E79" s="10"/>
      <c r="F79" s="16">
        <v>40662</v>
      </c>
      <c r="G79" s="17">
        <v>31.66</v>
      </c>
      <c r="H79" s="18">
        <v>1363.61</v>
      </c>
      <c r="I79" s="19"/>
      <c r="J79" s="19">
        <f>(G79+I79)/C79-1</f>
        <v>0.08834651082846334</v>
      </c>
      <c r="K79" s="19">
        <f>J79-(H79/D79-1)</f>
        <v>-0.06298161021376947</v>
      </c>
      <c r="L79" s="20"/>
      <c r="M79" s="11">
        <f>1+J79</f>
        <v>1.088346510828463</v>
      </c>
      <c r="N79" s="9">
        <f>1+K79</f>
        <v>0.9370183897862305</v>
      </c>
      <c r="O79" s="9"/>
    </row>
    <row r="80" ht="12" customHeight="1">
      <c r="A80" t="s" s="3">
        <v>87</v>
      </c>
      <c r="B80" s="6">
        <v>40513</v>
      </c>
      <c r="C80" s="3">
        <v>41.95</v>
      </c>
      <c r="D80" s="10">
        <v>1206.7</v>
      </c>
      <c r="E80" s="10"/>
      <c r="F80" s="16">
        <v>40690</v>
      </c>
      <c r="G80" s="17">
        <v>74.51000000000001</v>
      </c>
      <c r="H80" s="18">
        <v>1331.1</v>
      </c>
      <c r="I80" s="19"/>
      <c r="J80" s="19">
        <f>(G80+I80)/C80-1</f>
        <v>0.7761620977353993</v>
      </c>
      <c r="K80" s="19">
        <f>J80-(H80/D80-1)</f>
        <v>0.6730710229032124</v>
      </c>
      <c r="L80" s="20"/>
      <c r="M80" s="11">
        <f>1+J80</f>
        <v>1.776162097735399</v>
      </c>
      <c r="N80" s="9">
        <f>1+K80</f>
        <v>1.673071022903212</v>
      </c>
      <c r="O80" s="9"/>
    </row>
    <row r="81" ht="12" customHeight="1">
      <c r="A81" t="s" s="3">
        <v>88</v>
      </c>
      <c r="B81" s="6">
        <v>40543</v>
      </c>
      <c r="C81" s="3">
        <v>13.55</v>
      </c>
      <c r="D81" s="10">
        <v>1257.64</v>
      </c>
      <c r="E81" s="10"/>
      <c r="F81" s="16">
        <v>40711</v>
      </c>
      <c r="G81" s="17">
        <v>16.01</v>
      </c>
      <c r="H81" s="18">
        <v>1271.5</v>
      </c>
      <c r="I81" s="19"/>
      <c r="J81" s="19">
        <f>(G81+I81)/C81-1</f>
        <v>0.181549815498155</v>
      </c>
      <c r="K81" s="19">
        <f>J81-(H81/D81-1)</f>
        <v>0.1705291736610635</v>
      </c>
      <c r="L81" s="20"/>
      <c r="M81" s="11">
        <f>1+J81</f>
        <v>1.181549815498155</v>
      </c>
      <c r="N81" s="9">
        <f>1+K81</f>
        <v>1.170529173661063</v>
      </c>
      <c r="O81" s="9"/>
    </row>
    <row r="82" ht="12" customHeight="1">
      <c r="A82" t="s" s="3">
        <v>89</v>
      </c>
      <c r="B82" s="6">
        <v>40575</v>
      </c>
      <c r="C82" s="3">
        <v>3.75</v>
      </c>
      <c r="D82" s="10">
        <v>1307.59</v>
      </c>
      <c r="E82" s="10"/>
      <c r="F82" s="16">
        <v>40755</v>
      </c>
      <c r="G82" s="17">
        <v>4.5</v>
      </c>
      <c r="H82" s="18">
        <v>1292.28</v>
      </c>
      <c r="I82" s="21">
        <v>0.06</v>
      </c>
      <c r="J82" s="19">
        <f>(G82+I82)/C82-1</f>
        <v>0.216</v>
      </c>
      <c r="K82" s="19">
        <f>J82-(H82/D82-1)</f>
        <v>0.2277085630816998</v>
      </c>
      <c r="L82" s="20"/>
      <c r="M82" s="11">
        <f>1+J82</f>
        <v>1.216</v>
      </c>
      <c r="N82" s="9">
        <f>1+K82</f>
        <v>1.2277085630817</v>
      </c>
      <c r="O82" s="9"/>
    </row>
    <row r="83" ht="12" customHeight="1">
      <c r="A83" t="s" s="3">
        <v>90</v>
      </c>
      <c r="B83" s="6">
        <v>40603</v>
      </c>
      <c r="C83" s="3">
        <v>66.68000000000001</v>
      </c>
      <c r="D83" s="10">
        <v>1306.33</v>
      </c>
      <c r="E83" s="10"/>
      <c r="F83" s="16">
        <v>40777</v>
      </c>
      <c r="G83" s="17">
        <f>50.03+41.5/6</f>
        <v>56.94666666666667</v>
      </c>
      <c r="H83" s="18">
        <v>1123.82</v>
      </c>
      <c r="I83" s="21">
        <v>0.5</v>
      </c>
      <c r="J83" s="19">
        <f>(G83+I83)/C83-1</f>
        <v>-0.1384723055388923</v>
      </c>
      <c r="K83" s="19">
        <f>J83-(H83/D83-1)</f>
        <v>0.001239712098304979</v>
      </c>
      <c r="L83" s="20"/>
      <c r="M83" s="11">
        <f>1+J83</f>
        <v>0.8615276944611077</v>
      </c>
      <c r="N83" s="9">
        <f>1+K83</f>
        <v>1.001239712098305</v>
      </c>
      <c r="O83" t="s" s="3">
        <v>91</v>
      </c>
    </row>
    <row r="84" ht="12" customHeight="1">
      <c r="A84" t="s" s="3">
        <v>92</v>
      </c>
      <c r="B84" s="6">
        <v>40633</v>
      </c>
      <c r="C84" s="3">
        <v>37.29</v>
      </c>
      <c r="D84" s="10">
        <v>1325.83</v>
      </c>
      <c r="E84" s="10"/>
      <c r="F84" s="16">
        <v>40816</v>
      </c>
      <c r="G84" s="17">
        <v>25.72</v>
      </c>
      <c r="H84" s="18">
        <v>1131.42</v>
      </c>
      <c r="I84" s="19"/>
      <c r="J84" s="19">
        <f>(G84+I84)/C84-1</f>
        <v>-0.3102708500938589</v>
      </c>
      <c r="K84" s="19">
        <f>J84-(H84/D84-1)</f>
        <v>-0.1636381747131541</v>
      </c>
      <c r="L84" s="20"/>
      <c r="M84" s="11">
        <f>1+J84</f>
        <v>0.6897291499061411</v>
      </c>
      <c r="N84" s="9">
        <f>1+K84</f>
        <v>0.8363618252868459</v>
      </c>
      <c r="O84" s="9"/>
    </row>
    <row r="85" ht="12" customHeight="1">
      <c r="A85" t="s" s="3">
        <v>93</v>
      </c>
      <c r="B85" s="6">
        <v>40664</v>
      </c>
      <c r="C85" s="3">
        <f>2.65*1.0972</f>
        <v>2.90758</v>
      </c>
      <c r="D85" s="10">
        <v>1363.61</v>
      </c>
      <c r="E85" s="10"/>
      <c r="F85" s="16">
        <v>40848</v>
      </c>
      <c r="G85" s="17">
        <f>2.56*1.0341</f>
        <v>2.647296</v>
      </c>
      <c r="H85" s="18">
        <v>1218.28</v>
      </c>
      <c r="I85" s="22">
        <f>0.081*1.0219</f>
        <v>0.08277390000000001</v>
      </c>
      <c r="J85" s="19">
        <f>(G85+I85)/C85-1</f>
        <v>-0.06105080513691785</v>
      </c>
      <c r="K85" s="19">
        <f>J85-(H85/D85-1)</f>
        <v>0.0455265886926961</v>
      </c>
      <c r="L85" s="20"/>
      <c r="M85" s="11">
        <f>1+J85</f>
        <v>0.9389491948630821</v>
      </c>
      <c r="N85" s="9">
        <f>1+K85</f>
        <v>1.045526588692696</v>
      </c>
      <c r="O85" s="9"/>
    </row>
    <row r="86" ht="12" customHeight="1">
      <c r="A86" t="s" s="3">
        <v>94</v>
      </c>
      <c r="B86" s="6">
        <v>40690</v>
      </c>
      <c r="C86" s="3">
        <v>45.96</v>
      </c>
      <c r="D86" s="10">
        <v>1331.1</v>
      </c>
      <c r="E86" s="10"/>
      <c r="F86" s="16">
        <v>40877</v>
      </c>
      <c r="G86" s="17">
        <v>40.77</v>
      </c>
      <c r="H86" s="18">
        <v>1246.96</v>
      </c>
      <c r="I86" s="19"/>
      <c r="J86" s="19">
        <f>(G86+I86)/C86-1</f>
        <v>-0.1129242819843341</v>
      </c>
      <c r="K86" s="19">
        <f>J86-(H86/D86-1)</f>
        <v>-0.04971340376331401</v>
      </c>
      <c r="L86" s="20"/>
      <c r="M86" s="11">
        <f>1+J86</f>
        <v>0.8870757180156659</v>
      </c>
      <c r="N86" s="9">
        <f>1+K86</f>
        <v>0.950286596236686</v>
      </c>
      <c r="O86" s="9"/>
    </row>
    <row r="87" ht="12" customHeight="1">
      <c r="A87" t="s" s="3">
        <v>95</v>
      </c>
      <c r="B87" s="6">
        <v>40711</v>
      </c>
      <c r="C87" s="3">
        <f>3.12*1.0614</f>
        <v>3.311568</v>
      </c>
      <c r="D87" s="10">
        <v>1271.5</v>
      </c>
      <c r="E87" s="10"/>
      <c r="F87" s="16">
        <v>40896</v>
      </c>
      <c r="G87" s="17">
        <f>2.74*0.9966</f>
        <v>2.730684</v>
      </c>
      <c r="H87" s="18">
        <v>1205.35</v>
      </c>
      <c r="I87" s="22">
        <f>0.19*1.0391</f>
        <v>0.197429</v>
      </c>
      <c r="J87" s="19">
        <f>(G87+I87)/C87-1</f>
        <v>-0.1157925792253095</v>
      </c>
      <c r="K87" s="19">
        <f>J87-(H87/D87-1)</f>
        <v>-0.06376741209986703</v>
      </c>
      <c r="L87" s="20"/>
      <c r="M87" s="11">
        <f>1+J87</f>
        <v>0.8842074207746905</v>
      </c>
      <c r="N87" s="9">
        <f>1+K87</f>
        <v>0.936232587900133</v>
      </c>
      <c r="O87" s="9"/>
    </row>
    <row r="88" ht="12" customHeight="1">
      <c r="A88" t="s" s="3">
        <v>96</v>
      </c>
      <c r="B88" s="6">
        <v>40757</v>
      </c>
      <c r="C88" s="3">
        <v>29.12</v>
      </c>
      <c r="D88" s="10">
        <v>1254.05</v>
      </c>
      <c r="E88" s="10"/>
      <c r="F88" s="16">
        <v>40940</v>
      </c>
      <c r="G88" s="17">
        <v>31.58</v>
      </c>
      <c r="H88" s="18">
        <v>1324.09</v>
      </c>
      <c r="I88" s="22">
        <v>0.3</v>
      </c>
      <c r="J88" s="19">
        <f>(G88+I88)/C88-1</f>
        <v>0.09478021978021967</v>
      </c>
      <c r="K88" s="19">
        <f>J88-(H88/D88-1)</f>
        <v>0.03892917715831468</v>
      </c>
      <c r="L88" s="20"/>
      <c r="M88" s="11">
        <f>1+J88</f>
        <v>1.09478021978022</v>
      </c>
      <c r="N88" s="9">
        <f>1+K88</f>
        <v>1.038929177158315</v>
      </c>
      <c r="O88" s="9"/>
    </row>
    <row r="89" ht="12" customHeight="1">
      <c r="A89" t="s" s="3">
        <v>97</v>
      </c>
      <c r="B89" s="6">
        <v>40777</v>
      </c>
      <c r="C89" s="3">
        <v>24.45</v>
      </c>
      <c r="D89" s="10">
        <v>1123.82</v>
      </c>
      <c r="E89" s="10"/>
      <c r="F89" s="16">
        <v>40879</v>
      </c>
      <c r="G89" s="17">
        <v>27.68</v>
      </c>
      <c r="H89" s="18">
        <v>1244.28</v>
      </c>
      <c r="I89" s="22">
        <v>0.12</v>
      </c>
      <c r="J89" s="19">
        <f>(G89+I89)/C89-1</f>
        <v>0.1370143149284255</v>
      </c>
      <c r="K89" s="19">
        <f>J89-(H89/D89-1)</f>
        <v>0.0298263310875968</v>
      </c>
      <c r="L89" s="20"/>
      <c r="M89" s="11">
        <f>1+J89</f>
        <v>1.137014314928426</v>
      </c>
      <c r="N89" s="9">
        <f>1+K89</f>
        <v>1.029826331087597</v>
      </c>
      <c r="O89" s="9"/>
    </row>
    <row r="90" ht="12" customHeight="1">
      <c r="A90" t="s" s="3">
        <v>98</v>
      </c>
      <c r="B90" s="6">
        <v>40816</v>
      </c>
      <c r="C90" s="3">
        <v>48.52</v>
      </c>
      <c r="D90" s="10">
        <v>1131.42</v>
      </c>
      <c r="E90" s="10"/>
      <c r="F90" s="16">
        <v>40998</v>
      </c>
      <c r="G90" s="17">
        <v>61.14</v>
      </c>
      <c r="H90" s="18">
        <v>1408.47</v>
      </c>
      <c r="I90" s="22">
        <v>0.22</v>
      </c>
      <c r="J90" s="19">
        <f>(G90+I90)/C90-1</f>
        <v>0.2646331409727947</v>
      </c>
      <c r="K90" s="19">
        <f>J90-(H90/D90-1)</f>
        <v>0.0197638616600726</v>
      </c>
      <c r="L90" s="20"/>
      <c r="M90" s="11">
        <f>1+J90</f>
        <v>1.264633140972795</v>
      </c>
      <c r="N90" s="9">
        <f>1+K90</f>
        <v>1.019763861660073</v>
      </c>
      <c r="O90" s="9"/>
    </row>
    <row r="91" ht="12" customHeight="1">
      <c r="A91" t="s" s="3">
        <v>99</v>
      </c>
      <c r="B91" s="6">
        <v>40849</v>
      </c>
      <c r="C91" s="3">
        <v>13.37</v>
      </c>
      <c r="D91" s="10">
        <v>1237.9</v>
      </c>
      <c r="E91" s="10"/>
      <c r="F91" s="16">
        <v>41029</v>
      </c>
      <c r="G91" s="17">
        <v>8.42</v>
      </c>
      <c r="H91" s="18">
        <v>1397.91</v>
      </c>
      <c r="I91" s="22">
        <f>0.13+0.15</f>
        <v>0.28</v>
      </c>
      <c r="J91" s="19">
        <f>(G91+I91)/C91-1</f>
        <v>-0.3492894540014959</v>
      </c>
      <c r="K91" s="19">
        <f>J91-(H91/D91-1)</f>
        <v>-0.4785486833415071</v>
      </c>
      <c r="L91" s="20"/>
      <c r="M91" s="11">
        <f>1+J91</f>
        <v>0.6507105459985041</v>
      </c>
      <c r="N91" s="9">
        <f>1+K91</f>
        <v>0.5214513166584929</v>
      </c>
      <c r="O91" s="9"/>
    </row>
    <row r="92" ht="12" customHeight="1">
      <c r="A92" t="s" s="3">
        <v>100</v>
      </c>
      <c r="B92" s="6">
        <v>40879</v>
      </c>
      <c r="C92" s="3">
        <v>33.31</v>
      </c>
      <c r="D92" s="10">
        <v>1244.28</v>
      </c>
      <c r="E92" s="10"/>
      <c r="F92" s="16">
        <v>41060</v>
      </c>
      <c r="G92" s="17">
        <v>36.07</v>
      </c>
      <c r="H92" s="18">
        <v>1310.33</v>
      </c>
      <c r="I92" s="22">
        <v>0.5</v>
      </c>
      <c r="J92" s="19">
        <f>(G92+I92)/C92-1</f>
        <v>0.09786850795556878</v>
      </c>
      <c r="K92" s="19">
        <f>J92-(H92/D92-1)</f>
        <v>0.0447856005713787</v>
      </c>
      <c r="L92" s="20"/>
      <c r="M92" s="11">
        <f>1+J92</f>
        <v>1.097868507955569</v>
      </c>
      <c r="N92" s="9">
        <f>1+K92</f>
        <v>1.044785600571379</v>
      </c>
      <c r="O92" s="9"/>
    </row>
    <row r="93" ht="12" customHeight="1">
      <c r="A93" t="s" s="3">
        <v>101</v>
      </c>
      <c r="B93" s="6">
        <v>40907</v>
      </c>
      <c r="C93" s="3">
        <v>45.01</v>
      </c>
      <c r="D93" s="10">
        <v>1257.6</v>
      </c>
      <c r="E93" s="10"/>
      <c r="F93" s="16">
        <v>41092</v>
      </c>
      <c r="G93" s="17">
        <v>54.12</v>
      </c>
      <c r="H93" s="18">
        <v>1365.51</v>
      </c>
      <c r="I93" s="22">
        <v>0.46</v>
      </c>
      <c r="J93" s="19">
        <f>(G93+I93)/C93-1</f>
        <v>0.2126194179071317</v>
      </c>
      <c r="K93" s="19">
        <f>J93-(H93/D93-1)</f>
        <v>0.126813120197208</v>
      </c>
      <c r="L93" s="20"/>
      <c r="M93" s="11">
        <f>1+J93</f>
        <v>1.212619417907132</v>
      </c>
      <c r="N93" s="9">
        <f>1+K93</f>
        <v>1.126813120197208</v>
      </c>
      <c r="O93" s="9"/>
    </row>
    <row r="94" ht="12" customHeight="1">
      <c r="A94" t="s" s="3">
        <v>102</v>
      </c>
      <c r="B94" s="6">
        <v>40940</v>
      </c>
      <c r="C94" s="3">
        <f>83.3-0.08*109-1.136*15.28</f>
        <v>57.22192</v>
      </c>
      <c r="D94" s="10">
        <v>1324.09</v>
      </c>
      <c r="E94" s="10"/>
      <c r="F94" s="16">
        <v>41121</v>
      </c>
      <c r="G94" s="17">
        <f>93.95-0.08*103-1.136*12.38</f>
        <v>71.64632</v>
      </c>
      <c r="H94" s="18">
        <v>1379.32</v>
      </c>
      <c r="I94" s="22">
        <f>2.35-0.08*5.3-1.136*0.34</f>
        <v>1.53976</v>
      </c>
      <c r="J94" s="19">
        <f>(G94+I94)/C94-1</f>
        <v>0.2789867938719988</v>
      </c>
      <c r="K94" s="19">
        <f>J94-(H94/D94-1)</f>
        <v>0.2372751277465843</v>
      </c>
      <c r="L94" s="20"/>
      <c r="M94" s="11">
        <f>1+J94</f>
        <v>1.278986793871999</v>
      </c>
      <c r="N94" s="9">
        <f>1+K94</f>
        <v>1.237275127746584</v>
      </c>
      <c r="O94" s="9"/>
    </row>
    <row r="95" ht="12" customHeight="1">
      <c r="A95" t="s" s="3">
        <v>103</v>
      </c>
      <c r="B95" s="6">
        <v>40970</v>
      </c>
      <c r="C95" s="3">
        <v>1</v>
      </c>
      <c r="D95" s="10">
        <v>1369.63</v>
      </c>
      <c r="E95" s="10"/>
      <c r="F95" s="16">
        <v>41152</v>
      </c>
      <c r="G95" s="17">
        <f>AVERAGE(7.85/6.75,12.5/11.45,16.9/15.9,14.5/13.84,4.28/4.04)</f>
        <v>1.084930580671653</v>
      </c>
      <c r="H95" s="18">
        <v>1406.58</v>
      </c>
      <c r="I95" s="22">
        <f>AVERAGE(0.05/6.25,0.08/11.45,0.1/15.9,0.1/13.84,0.06/4.04)</f>
        <v>0.008670625282789163</v>
      </c>
      <c r="J95" s="19">
        <f>(G95+I95)/C95-1</f>
        <v>0.09360120595444177</v>
      </c>
      <c r="K95" s="19">
        <f>J95-(H95/D95-1)</f>
        <v>0.06662311698150769</v>
      </c>
      <c r="L95" s="20"/>
      <c r="M95" s="11">
        <f>1+J95</f>
        <v>1.093601205954442</v>
      </c>
      <c r="N95" s="9">
        <f>1+K95</f>
        <v>1.066623116981508</v>
      </c>
      <c r="O95" t="s" s="3">
        <v>104</v>
      </c>
    </row>
    <row r="96" ht="12" customHeight="1">
      <c r="A96" t="s" s="3">
        <v>105</v>
      </c>
      <c r="B96" s="6">
        <v>41001</v>
      </c>
      <c r="C96" s="3">
        <v>2893.5134625</v>
      </c>
      <c r="D96" s="10">
        <v>1419.04</v>
      </c>
      <c r="E96" s="10"/>
      <c r="F96" s="16">
        <v>41183</v>
      </c>
      <c r="G96" s="17">
        <v>3246.77912775</v>
      </c>
      <c r="H96" s="18">
        <v>1444.49</v>
      </c>
      <c r="I96" s="22"/>
      <c r="J96" s="19">
        <f>(G96+I96)/C96-1</f>
        <v>0.1220888272435332</v>
      </c>
      <c r="K96" s="19">
        <f>J96-(H96/D96-1)</f>
        <v>0.104154167191667</v>
      </c>
      <c r="L96" s="20"/>
      <c r="M96" s="11">
        <f>1+J96</f>
        <v>1.122088827243533</v>
      </c>
      <c r="N96" s="9">
        <f>1+K96</f>
        <v>1.104154167191667</v>
      </c>
      <c r="O96" t="s" s="3">
        <v>106</v>
      </c>
    </row>
    <row r="97" ht="12" customHeight="1">
      <c r="A97" t="s" s="3">
        <v>107</v>
      </c>
      <c r="B97" s="6">
        <v>41029</v>
      </c>
      <c r="C97" s="3">
        <v>46.75</v>
      </c>
      <c r="D97" s="10">
        <v>1397.91</v>
      </c>
      <c r="E97" s="10"/>
      <c r="F97" s="16">
        <v>41207</v>
      </c>
      <c r="G97" s="17">
        <v>39.38</v>
      </c>
      <c r="H97" s="18">
        <v>1412.97</v>
      </c>
      <c r="I97" s="22">
        <v>0.08</v>
      </c>
      <c r="J97" s="19">
        <f>(G97+I97)/C97-1</f>
        <v>-0.1559358288770053</v>
      </c>
      <c r="K97" s="19">
        <f>J97-(H97/D97-1)</f>
        <v>-0.1667090546211519</v>
      </c>
      <c r="L97" s="20"/>
      <c r="M97" s="11">
        <f>1+J97</f>
        <v>0.8440641711229947</v>
      </c>
      <c r="N97" s="9">
        <f>1+K97</f>
        <v>0.8332909453788481</v>
      </c>
      <c r="O97" s="9"/>
    </row>
    <row r="98" ht="12" customHeight="1">
      <c r="A98" t="s" s="3">
        <v>108</v>
      </c>
      <c r="B98" s="6">
        <v>41061</v>
      </c>
      <c r="C98" s="3">
        <v>30.87</v>
      </c>
      <c r="D98" s="10">
        <v>1278.04</v>
      </c>
      <c r="E98" s="10"/>
      <c r="F98" s="16">
        <v>41239</v>
      </c>
      <c r="G98" s="17">
        <v>34.33</v>
      </c>
      <c r="H98" s="18">
        <v>1406.29</v>
      </c>
      <c r="I98" s="22">
        <v>0.28</v>
      </c>
      <c r="J98" s="19">
        <f>(G98+I98)/C98-1</f>
        <v>0.1211532231940395</v>
      </c>
      <c r="K98" s="19">
        <f>J98-(H98/D98-1)</f>
        <v>0.02080425133087416</v>
      </c>
      <c r="L98" s="20"/>
      <c r="M98" s="11">
        <f>1+J98</f>
        <v>1.12115322319404</v>
      </c>
      <c r="N98" s="9">
        <f>1+K98</f>
        <v>1.020804251330874</v>
      </c>
      <c r="O98" s="9"/>
    </row>
    <row r="99" ht="12" customHeight="1">
      <c r="A99" t="s" s="3">
        <v>109</v>
      </c>
      <c r="B99" s="6">
        <v>41092</v>
      </c>
      <c r="C99" s="3">
        <v>25.3</v>
      </c>
      <c r="D99" s="10">
        <v>1365.51</v>
      </c>
      <c r="E99" s="10"/>
      <c r="F99" s="16">
        <v>41274</v>
      </c>
      <c r="G99" s="17">
        <v>29.37</v>
      </c>
      <c r="H99" s="18">
        <v>1426.19</v>
      </c>
      <c r="I99" s="22">
        <v>0</v>
      </c>
      <c r="J99" s="19">
        <f>(G99+I99)/C99-1</f>
        <v>0.1608695652173913</v>
      </c>
      <c r="K99" s="19">
        <f>J99-(H99/D99-1)</f>
        <v>0.1164319558260283</v>
      </c>
      <c r="L99" s="20"/>
      <c r="M99" s="11">
        <f>1+J99</f>
        <v>1.160869565217391</v>
      </c>
      <c r="N99" s="9">
        <f>1+K99</f>
        <v>1.116431955826028</v>
      </c>
      <c r="O99" s="9"/>
    </row>
    <row r="100" ht="12" customHeight="1">
      <c r="A100" t="s" s="3">
        <v>110</v>
      </c>
      <c r="B100" s="6">
        <v>41121</v>
      </c>
      <c r="C100" s="3">
        <v>8.06</v>
      </c>
      <c r="D100" s="10">
        <v>1379.32</v>
      </c>
      <c r="E100" s="10"/>
      <c r="F100" s="23">
        <v>41305</v>
      </c>
      <c r="G100" s="24">
        <v>11.4</v>
      </c>
      <c r="H100" s="25">
        <v>1498.11</v>
      </c>
      <c r="I100" s="26">
        <v>0.36</v>
      </c>
      <c r="J100" s="27">
        <f>(G100+I100)/C100-1</f>
        <v>0.4590570719602975</v>
      </c>
      <c r="K100" s="28">
        <f>J100-(H100/D100-1)</f>
        <v>0.3729349248153275</v>
      </c>
      <c r="L100" s="29"/>
      <c r="M100" s="11">
        <f>1+J100</f>
        <v>1.459057071960298</v>
      </c>
      <c r="N100" s="9">
        <f>1+K100</f>
        <v>1.372934924815328</v>
      </c>
      <c r="O100" s="9"/>
    </row>
    <row r="101" ht="12" customHeight="1">
      <c r="A101" t="s" s="3">
        <v>111</v>
      </c>
      <c r="B101" s="6">
        <v>41154</v>
      </c>
      <c r="C101" s="3">
        <v>5.29</v>
      </c>
      <c r="D101" s="10">
        <v>1406.58</v>
      </c>
      <c r="E101" s="10"/>
      <c r="F101" s="23">
        <v>41334</v>
      </c>
      <c r="G101" s="24">
        <v>8.52</v>
      </c>
      <c r="H101" s="25">
        <v>1518.2</v>
      </c>
      <c r="I101" s="27"/>
      <c r="J101" s="27">
        <f>(G101+I101)/C101-1</f>
        <v>0.6105860113421548</v>
      </c>
      <c r="K101" s="28">
        <f>J101-(H101/D101-1)</f>
        <v>0.5312304112340913</v>
      </c>
      <c r="L101" s="29"/>
      <c r="M101" s="11">
        <f>1+J101</f>
        <v>1.610586011342155</v>
      </c>
      <c r="N101" s="9">
        <f>1+K101</f>
        <v>1.531230411234091</v>
      </c>
      <c r="O101" s="9"/>
    </row>
    <row r="102" ht="12" customHeight="1">
      <c r="A102" t="s" s="3">
        <v>112</v>
      </c>
      <c r="B102" s="6">
        <v>41184</v>
      </c>
      <c r="C102" s="3">
        <v>43.25</v>
      </c>
      <c r="D102" s="10">
        <v>1445.75</v>
      </c>
      <c r="E102" s="10"/>
      <c r="F102" s="23">
        <v>41366</v>
      </c>
      <c r="G102" s="24">
        <v>55.59</v>
      </c>
      <c r="H102" s="25">
        <v>1570.25</v>
      </c>
      <c r="I102" s="26">
        <v>2.5</v>
      </c>
      <c r="J102" s="27">
        <f>(G102+I102)/C102-1</f>
        <v>0.343121387283237</v>
      </c>
      <c r="K102" s="28">
        <f>J102-(H102/D102-1)</f>
        <v>0.2570069138265536</v>
      </c>
      <c r="L102" s="29"/>
      <c r="M102" s="11">
        <f>1+J102</f>
        <v>1.343121387283237</v>
      </c>
      <c r="N102" s="9">
        <f>1+K102</f>
        <v>1.257006913826554</v>
      </c>
      <c r="O102" s="9"/>
    </row>
    <row r="103" ht="12" customHeight="1">
      <c r="A103" t="s" s="3">
        <v>113</v>
      </c>
      <c r="B103" s="6">
        <v>41207</v>
      </c>
      <c r="C103" s="3">
        <v>2.97</v>
      </c>
      <c r="D103" s="10">
        <v>1412.97</v>
      </c>
      <c r="E103" s="10"/>
      <c r="F103" s="23">
        <v>41389</v>
      </c>
      <c r="G103" s="30">
        <v>1.2</v>
      </c>
      <c r="H103" s="31">
        <v>1585.16</v>
      </c>
      <c r="I103" s="32">
        <v>2</v>
      </c>
      <c r="J103" s="33">
        <f>(G103+I103)/C103-1</f>
        <v>0.07744107744107742</v>
      </c>
      <c r="K103" s="34">
        <f>J103-(H103/D103-1)</f>
        <v>-0.0444227979419809</v>
      </c>
      <c r="L103" s="29"/>
      <c r="M103" s="11">
        <f>1+J103</f>
        <v>1.077441077441077</v>
      </c>
      <c r="N103" s="9">
        <f>1+K103</f>
        <v>0.9555772020580191</v>
      </c>
      <c r="O103" s="9"/>
    </row>
    <row r="104" ht="12" customHeight="1">
      <c r="A104" t="s" s="3">
        <v>114</v>
      </c>
      <c r="B104" s="6">
        <v>41241</v>
      </c>
      <c r="C104" s="3">
        <v>8.15</v>
      </c>
      <c r="D104" s="10">
        <v>1409.93</v>
      </c>
      <c r="E104" s="10"/>
      <c r="F104" s="23">
        <v>41422</v>
      </c>
      <c r="G104" s="35">
        <v>9.09</v>
      </c>
      <c r="H104" s="10">
        <v>1660.06</v>
      </c>
      <c r="I104" s="36"/>
      <c r="J104" s="8">
        <f>(G104+I104)/C104-1</f>
        <v>0.1153374233128834</v>
      </c>
      <c r="K104" s="37">
        <f>J104-(H104/D104-1)</f>
        <v>-0.06206854719629074</v>
      </c>
      <c r="L104" s="29"/>
      <c r="M104" s="11">
        <f>1+J104</f>
        <v>1.115337423312883</v>
      </c>
      <c r="N104" s="9">
        <f>1+K104</f>
        <v>0.9379314528037093</v>
      </c>
      <c r="O104" s="9"/>
    </row>
    <row r="105" ht="12" customHeight="1">
      <c r="A105" t="s" s="3">
        <v>115</v>
      </c>
      <c r="B105" s="6">
        <v>41274</v>
      </c>
      <c r="C105" s="3">
        <v>11.47</v>
      </c>
      <c r="D105" s="10">
        <v>1426.19</v>
      </c>
      <c r="E105" s="10"/>
      <c r="F105" s="23">
        <v>41455</v>
      </c>
      <c r="G105" s="35">
        <v>12.75</v>
      </c>
      <c r="H105" s="10">
        <v>1606.28</v>
      </c>
      <c r="I105" s="8"/>
      <c r="J105" s="8">
        <f>(G105+I105)/C105-1</f>
        <v>0.1115954664341761</v>
      </c>
      <c r="K105" s="37">
        <f>J105-(H105/D105-1)</f>
        <v>-0.0146780314868582</v>
      </c>
      <c r="L105" s="29"/>
      <c r="M105" s="11">
        <f>1+J105</f>
        <v>1.111595466434176</v>
      </c>
      <c r="N105" s="9">
        <f>1+K105</f>
        <v>0.9853219685131418</v>
      </c>
      <c r="O105" s="9"/>
    </row>
    <row r="106" ht="12" customHeight="1">
      <c r="A106" t="s" s="3">
        <v>116</v>
      </c>
      <c r="B106" s="6">
        <v>41306</v>
      </c>
      <c r="C106" s="3">
        <v>25.3</v>
      </c>
      <c r="D106" s="10">
        <v>1513.17</v>
      </c>
      <c r="E106" s="10"/>
      <c r="F106" s="23">
        <v>41487</v>
      </c>
      <c r="G106" s="35">
        <f>27.4+(0.1*9.05)</f>
        <v>28.305</v>
      </c>
      <c r="H106" s="10">
        <v>1706.87</v>
      </c>
      <c r="I106" s="7">
        <v>0.12</v>
      </c>
      <c r="J106" s="8">
        <f>(G106+I106)/C106-1</f>
        <v>0.1235177865612649</v>
      </c>
      <c r="K106" s="38">
        <f>J106-(H106/D106-1)</f>
        <v>-0.004491624146057971</v>
      </c>
      <c r="L106" s="29"/>
      <c r="M106" s="11">
        <f>1+J106</f>
        <v>1.123517786561265</v>
      </c>
      <c r="N106" s="9">
        <f>1+K106</f>
        <v>0.995508375853942</v>
      </c>
      <c r="O106" s="9"/>
    </row>
    <row r="107" ht="12" customHeight="1">
      <c r="A107" t="s" s="3">
        <v>117</v>
      </c>
      <c r="B107" s="6">
        <v>41334</v>
      </c>
      <c r="C107" s="3">
        <v>9.81</v>
      </c>
      <c r="D107" s="10">
        <v>1518.2</v>
      </c>
      <c r="E107" s="10"/>
      <c r="F107" s="23">
        <v>41516</v>
      </c>
      <c r="G107" s="35">
        <f>23.35/2</f>
        <v>11.675</v>
      </c>
      <c r="H107" s="10">
        <v>1632.97</v>
      </c>
      <c r="I107" s="7">
        <f>4.06</f>
        <v>4.06</v>
      </c>
      <c r="J107" s="8">
        <f>(G107+I107)/C107-1</f>
        <v>0.6039755351681957</v>
      </c>
      <c r="K107" s="38">
        <f>J107-(H107/D107-1)</f>
        <v>0.5283794345226944</v>
      </c>
      <c r="L107" s="29"/>
      <c r="M107" s="11">
        <f>1+J107</f>
        <v>1.603975535168196</v>
      </c>
      <c r="N107" s="9">
        <f>1+K107</f>
        <v>1.528379434522694</v>
      </c>
      <c r="O107" s="9"/>
    </row>
    <row r="108" ht="12" customHeight="1">
      <c r="A108" t="s" s="3">
        <v>118</v>
      </c>
      <c r="B108" s="6">
        <v>41368</v>
      </c>
      <c r="C108" s="3">
        <v>6.09</v>
      </c>
      <c r="D108" s="10">
        <v>1559.98</v>
      </c>
      <c r="E108" s="10"/>
      <c r="F108" s="23">
        <v>41547</v>
      </c>
      <c r="G108" s="35">
        <v>7.97</v>
      </c>
      <c r="H108" s="10">
        <v>1681.55</v>
      </c>
      <c r="I108" s="7">
        <v>0.2</v>
      </c>
      <c r="J108" s="8">
        <f>(G108+I108)/C108-1</f>
        <v>0.3415435139573071</v>
      </c>
      <c r="K108" s="38">
        <f>J108-(H108/D108-1)</f>
        <v>0.2636130276690214</v>
      </c>
      <c r="L108" s="29"/>
      <c r="M108" s="11">
        <f>1+J108</f>
        <v>1.341543513957307</v>
      </c>
      <c r="N108" s="9">
        <f>1+K108</f>
        <v>1.263613027669021</v>
      </c>
      <c r="O108" s="9"/>
    </row>
    <row r="109" ht="12" customHeight="1">
      <c r="A109" t="s" s="3">
        <v>119</v>
      </c>
      <c r="B109" s="6">
        <v>41396</v>
      </c>
      <c r="C109" s="3">
        <v>20.84</v>
      </c>
      <c r="D109" s="10">
        <v>1597.59</v>
      </c>
      <c r="E109" s="10"/>
      <c r="F109" s="23">
        <v>41579</v>
      </c>
      <c r="G109" s="35">
        <v>30.96</v>
      </c>
      <c r="H109" s="10">
        <v>1761.64</v>
      </c>
      <c r="I109" s="7">
        <v>0.01</v>
      </c>
      <c r="J109" s="8">
        <f>(G109+I109)/C109-1</f>
        <v>0.4860844529750481</v>
      </c>
      <c r="K109" s="38">
        <f>J109-(H109/D109-1)</f>
        <v>0.3833985323070417</v>
      </c>
      <c r="L109" s="29"/>
      <c r="M109" s="11">
        <f>1+J109</f>
        <v>1.486084452975048</v>
      </c>
      <c r="N109" s="9">
        <f>1+K109</f>
        <v>1.383398532307042</v>
      </c>
      <c r="O109" t="s" s="3">
        <v>120</v>
      </c>
    </row>
    <row r="110" ht="12" customHeight="1">
      <c r="A110" t="s" s="3">
        <v>121</v>
      </c>
      <c r="B110" s="6">
        <v>41455</v>
      </c>
      <c r="C110" s="3">
        <v>24.59</v>
      </c>
      <c r="D110" s="10">
        <v>1606.28</v>
      </c>
      <c r="E110" s="10"/>
      <c r="F110" s="23">
        <v>41638</v>
      </c>
      <c r="G110" s="35">
        <v>34.31</v>
      </c>
      <c r="H110" s="10">
        <v>1841.07</v>
      </c>
      <c r="I110" s="7">
        <v>0.62</v>
      </c>
      <c r="J110" s="8">
        <f>(G110+I110)/C110-1</f>
        <v>0.420496136640911</v>
      </c>
      <c r="K110" s="38">
        <f>J110-(H110/D110-1)</f>
        <v>0.2743261040189522</v>
      </c>
      <c r="L110" s="29"/>
      <c r="M110" s="11">
        <f>1+J110</f>
        <v>1.420496136640911</v>
      </c>
      <c r="N110" s="9">
        <f>1+K110</f>
        <v>1.274326104018952</v>
      </c>
      <c r="O110" s="9"/>
    </row>
    <row r="111" ht="12" customHeight="1">
      <c r="A111" t="s" s="3">
        <v>122</v>
      </c>
      <c r="B111" s="6">
        <v>41487</v>
      </c>
      <c r="C111" s="3">
        <v>30.62</v>
      </c>
      <c r="D111" s="10">
        <v>1706.87</v>
      </c>
      <c r="E111" s="10"/>
      <c r="F111" s="23">
        <v>41673</v>
      </c>
      <c r="G111" s="35">
        <v>30.88</v>
      </c>
      <c r="H111" s="10">
        <v>1741.89</v>
      </c>
      <c r="I111" s="7">
        <v>0.13</v>
      </c>
      <c r="J111" s="8">
        <f>(G111+I111)/C111-1</f>
        <v>0.01273677335075107</v>
      </c>
      <c r="K111" s="38">
        <f>J111-(H111/D111-1)</f>
        <v>-0.007780313480700851</v>
      </c>
      <c r="L111" s="29"/>
      <c r="M111" s="11">
        <f>1+J111</f>
        <v>1.012736773350751</v>
      </c>
      <c r="N111" s="9">
        <f>1+K111</f>
        <v>0.9922196865192991</v>
      </c>
      <c r="O111" s="9"/>
    </row>
    <row r="112" ht="12" customHeight="1">
      <c r="A112" t="s" s="3">
        <v>123</v>
      </c>
      <c r="B112" s="6">
        <v>41519</v>
      </c>
      <c r="C112" s="3">
        <v>58.11</v>
      </c>
      <c r="D112" s="10">
        <v>1632.97</v>
      </c>
      <c r="E112" s="10"/>
      <c r="F112" s="23">
        <v>41701</v>
      </c>
      <c r="G112" s="35">
        <v>59.21</v>
      </c>
      <c r="H112" s="10">
        <v>1845.73</v>
      </c>
      <c r="I112" s="7">
        <f t="shared" si="121"/>
        <v>0.625</v>
      </c>
      <c r="J112" s="8">
        <f>(G112+I112)/C112-1</f>
        <v>0.02968508002065051</v>
      </c>
      <c r="K112" s="38">
        <f>J112-(H112/D112-1)</f>
        <v>-0.1006051273928354</v>
      </c>
      <c r="L112" s="29"/>
      <c r="M112" s="11">
        <f>1+J112</f>
        <v>1.029685080020651</v>
      </c>
      <c r="N112" s="9">
        <f>1+K112</f>
        <v>0.8993948726071646</v>
      </c>
      <c r="O112" t="s" s="3">
        <v>124</v>
      </c>
    </row>
    <row r="113" ht="12" customHeight="1">
      <c r="A113" t="s" s="3">
        <v>125</v>
      </c>
      <c r="B113" s="6">
        <v>41547</v>
      </c>
      <c r="C113" s="10">
        <v>24.9</v>
      </c>
      <c r="D113" s="10">
        <v>1681.55</v>
      </c>
      <c r="E113" s="10"/>
      <c r="F113" s="23">
        <v>41729</v>
      </c>
      <c r="G113" s="35">
        <v>24.48</v>
      </c>
      <c r="H113" s="10">
        <v>1872.34</v>
      </c>
      <c r="I113" s="7">
        <v>0.3</v>
      </c>
      <c r="J113" s="8">
        <f>(G113+I113)/C113-1</f>
        <v>-0.004819277108433662</v>
      </c>
      <c r="K113" s="38">
        <f>J113-(H113/D113-1)</f>
        <v>-0.1182800722081927</v>
      </c>
      <c r="L113" s="29"/>
      <c r="M113" s="11">
        <f>1+J113</f>
        <v>0.9951807228915663</v>
      </c>
      <c r="N113" s="9">
        <f>1+K113</f>
        <v>0.8817199277918073</v>
      </c>
      <c r="O113" s="9"/>
    </row>
    <row r="114" ht="12" customHeight="1">
      <c r="A114" t="s" s="3">
        <v>126</v>
      </c>
      <c r="B114" s="6">
        <v>41581</v>
      </c>
      <c r="C114" s="3">
        <v>10.98</v>
      </c>
      <c r="D114" s="10">
        <v>1761.64</v>
      </c>
      <c r="E114" s="10"/>
      <c r="F114" s="23">
        <v>41761</v>
      </c>
      <c r="G114" s="35">
        <v>15.88</v>
      </c>
      <c r="H114" s="10">
        <v>1881.14</v>
      </c>
      <c r="I114" s="7">
        <v>0</v>
      </c>
      <c r="J114" s="8">
        <f>(G114+I114)/C114-1</f>
        <v>0.4462659380692169</v>
      </c>
      <c r="K114" s="38">
        <f>J114-(H114/D114-1)</f>
        <v>0.3784314202335637</v>
      </c>
      <c r="L114" s="29"/>
      <c r="M114" s="11">
        <f>1+J114</f>
        <v>1.446265938069217</v>
      </c>
      <c r="N114" s="9">
        <f>1+K114</f>
        <v>1.378431420233564</v>
      </c>
      <c r="O114" s="9"/>
    </row>
    <row r="115" ht="12" customHeight="1">
      <c r="A115" t="s" s="3">
        <v>127</v>
      </c>
      <c r="B115" s="6">
        <v>41610</v>
      </c>
      <c r="C115" s="3">
        <v>6.15</v>
      </c>
      <c r="D115" s="10">
        <v>1800.9</v>
      </c>
      <c r="E115" s="10"/>
      <c r="F115" s="23">
        <v>41792</v>
      </c>
      <c r="G115" s="35">
        <v>6.22</v>
      </c>
      <c r="H115" s="10">
        <v>1924.97</v>
      </c>
      <c r="I115" s="7">
        <v>0</v>
      </c>
      <c r="J115" s="8">
        <f>(G115+I115)/C115-1</f>
        <v>0.01138211382113807</v>
      </c>
      <c r="K115" s="38">
        <f>J115-(H115/D115-1)</f>
        <v>-0.05751121729108366</v>
      </c>
      <c r="L115" s="29"/>
      <c r="M115" s="11">
        <f>1+J115</f>
        <v>1.011382113821138</v>
      </c>
      <c r="N115" s="9">
        <f>1+K115</f>
        <v>0.9424887827089163</v>
      </c>
      <c r="O115" s="9"/>
    </row>
    <row r="116" ht="12" customHeight="1">
      <c r="A116" t="s" s="3">
        <v>128</v>
      </c>
      <c r="B116" s="6">
        <v>41674</v>
      </c>
      <c r="C116" s="3">
        <v>24.03</v>
      </c>
      <c r="D116" s="10">
        <v>1755.2</v>
      </c>
      <c r="E116" s="10"/>
      <c r="F116" s="23">
        <v>41855</v>
      </c>
      <c r="G116" s="35">
        <v>23.6</v>
      </c>
      <c r="H116" s="10">
        <v>1938.99</v>
      </c>
      <c r="I116" s="7">
        <v>0.96</v>
      </c>
      <c r="J116" s="8">
        <f>(G116+I116)/C116-1</f>
        <v>0.02205576362879746</v>
      </c>
      <c r="K116" s="38">
        <f>J116-(H116/D116-1)</f>
        <v>-0.08265595013601557</v>
      </c>
      <c r="L116" s="29"/>
      <c r="M116" s="11">
        <f>1+J116</f>
        <v>1.022055763628797</v>
      </c>
      <c r="N116" s="9">
        <f>1+K116</f>
        <v>0.9173440498639844</v>
      </c>
      <c r="O116" s="9"/>
    </row>
    <row r="117" ht="12" customHeight="1">
      <c r="A117" t="s" s="3">
        <v>129</v>
      </c>
      <c r="B117" s="6">
        <v>41701</v>
      </c>
      <c r="C117" s="3">
        <v>13.75</v>
      </c>
      <c r="D117" s="10">
        <v>1845.73</v>
      </c>
      <c r="E117" s="10"/>
      <c r="F117" s="23">
        <v>41885</v>
      </c>
      <c r="G117" s="35">
        <v>14.07</v>
      </c>
      <c r="H117" s="10">
        <v>2000.72</v>
      </c>
      <c r="I117" s="7">
        <v>0</v>
      </c>
      <c r="J117" s="8">
        <f>(G117+I117)/C117-1</f>
        <v>0.02327272727272733</v>
      </c>
      <c r="K117" s="38">
        <f>J117-(H117/D117-1)</f>
        <v>-0.06069946801043979</v>
      </c>
      <c r="L117" s="29"/>
      <c r="M117" s="11">
        <f>1+J117</f>
        <v>1.023272727272727</v>
      </c>
      <c r="N117" s="9">
        <f>1+K117</f>
        <v>0.9393005319895602</v>
      </c>
      <c r="O117" s="9"/>
    </row>
    <row r="118" ht="12" customHeight="1">
      <c r="A118" s="4"/>
      <c r="B118" s="6"/>
      <c r="C118" s="4"/>
      <c r="D118" s="10"/>
      <c r="E118" s="10"/>
      <c r="F118" s="23"/>
      <c r="G118" s="39"/>
      <c r="H118" s="10"/>
      <c r="I118" s="7"/>
      <c r="J118" s="8"/>
      <c r="K118" s="37"/>
      <c r="L118" s="29"/>
      <c r="M118" s="9"/>
      <c r="N118" s="9"/>
      <c r="O118" s="9"/>
    </row>
    <row r="119" ht="12" customHeight="1">
      <c r="A119" s="4"/>
      <c r="B119" s="6"/>
      <c r="C119" s="4"/>
      <c r="D119" s="10"/>
      <c r="E119" s="10"/>
      <c r="F119" s="23"/>
      <c r="G119" s="35"/>
      <c r="H119" s="10"/>
      <c r="I119" s="7"/>
      <c r="J119" s="8"/>
      <c r="K119" s="37"/>
      <c r="L119" s="29"/>
      <c r="M119" s="9"/>
      <c r="N119" s="9"/>
      <c r="O119" s="9"/>
    </row>
    <row r="120" ht="12" customHeight="1">
      <c r="A120" s="4"/>
      <c r="B120" s="6"/>
      <c r="C120" s="4"/>
      <c r="D120" s="10"/>
      <c r="E120" s="10"/>
      <c r="F120" s="23"/>
      <c r="G120" s="40"/>
      <c r="H120" s="41"/>
      <c r="I120" s="42"/>
      <c r="J120" t="s" s="43">
        <v>12</v>
      </c>
      <c r="K120" t="s" s="44">
        <v>13</v>
      </c>
      <c r="L120" s="29"/>
      <c r="M120" s="9"/>
      <c r="N120" s="9"/>
      <c r="O120" s="9"/>
    </row>
    <row r="121" ht="12" customHeight="1">
      <c r="A121" s="4"/>
      <c r="B121" s="6"/>
      <c r="C121" s="4"/>
      <c r="D121" s="10"/>
      <c r="E121" s="4"/>
      <c r="F121" s="45"/>
      <c r="G121" t="s" s="46">
        <v>130</v>
      </c>
      <c r="H121" s="47"/>
      <c r="I121" s="48"/>
      <c r="J121" s="48"/>
      <c r="K121" s="49"/>
      <c r="L121" s="29"/>
      <c r="M121" s="9"/>
      <c r="N121" s="4"/>
      <c r="O121" s="4"/>
    </row>
    <row r="122" ht="12" customHeight="1">
      <c r="A122" s="4"/>
      <c r="B122" s="4"/>
      <c r="C122" s="4"/>
      <c r="D122" s="4"/>
      <c r="E122" s="4"/>
      <c r="F122" s="45"/>
      <c r="G122" s="50"/>
      <c r="H122" t="s" s="51">
        <v>131</v>
      </c>
      <c r="I122" s="52"/>
      <c r="J122" s="52">
        <f>PRODUCT(M15:M117)^(1/COUNT(M15:M117))-1</f>
        <v>0.102880724706591</v>
      </c>
      <c r="K122" s="53">
        <f>PRODUCT(N15:N117)^(1/COUNT(N15:N117))-1</f>
        <v>0.07968758254695762</v>
      </c>
      <c r="L122" s="35"/>
      <c r="M122" s="4"/>
      <c r="N122" s="3"/>
      <c r="O122" s="3"/>
    </row>
    <row r="123" ht="12" customHeight="1">
      <c r="A123" s="4"/>
      <c r="B123" s="4"/>
      <c r="C123" s="4"/>
      <c r="D123" s="3"/>
      <c r="E123" s="4"/>
      <c r="F123" s="45"/>
      <c r="G123" s="50"/>
      <c r="H123" t="s" s="51">
        <v>132</v>
      </c>
      <c r="I123" s="54"/>
      <c r="J123" s="52">
        <f>(1+J122)^2-1</f>
        <v>0.2163458929293354</v>
      </c>
      <c r="K123" s="53">
        <f>(1+K122)^2-1</f>
        <v>0.1657252759060934</v>
      </c>
      <c r="L123" s="35"/>
      <c r="M123" s="4"/>
      <c r="N123" s="8"/>
      <c r="O123" s="3"/>
    </row>
    <row r="124" ht="12" customHeight="1">
      <c r="A124" s="4"/>
      <c r="B124" s="4"/>
      <c r="C124" s="4"/>
      <c r="D124" s="3"/>
      <c r="E124" s="4"/>
      <c r="F124" s="45"/>
      <c r="G124" s="55"/>
      <c r="H124" t="s" s="56">
        <v>133</v>
      </c>
      <c r="I124" s="57"/>
      <c r="J124" s="57">
        <f>STDEV(M15:M117)</f>
        <v>0.312759560361731</v>
      </c>
      <c r="K124" s="58"/>
      <c r="L124" s="35"/>
      <c r="M124" s="4"/>
      <c r="N124" s="4"/>
      <c r="O124" s="4"/>
    </row>
    <row r="125" ht="12" customHeight="1">
      <c r="A125" s="4"/>
      <c r="B125" s="4"/>
      <c r="C125" s="4"/>
      <c r="D125" s="4"/>
      <c r="E125" s="4"/>
      <c r="F125" s="4"/>
      <c r="G125" s="59"/>
      <c r="H125" s="59"/>
      <c r="I125" s="59"/>
      <c r="J125" s="59"/>
      <c r="K125" s="59"/>
      <c r="L125" s="4"/>
      <c r="M125" s="4"/>
      <c r="N125" s="4"/>
      <c r="O125" s="4"/>
    </row>
    <row r="126" ht="12" customHeight="1">
      <c r="A126" s="4"/>
      <c r="B126" s="4"/>
      <c r="C126" s="4"/>
      <c r="D126" s="4"/>
      <c r="E126" s="4"/>
      <c r="F126" s="45"/>
      <c r="G126" t="s" s="60">
        <v>134</v>
      </c>
      <c r="H126" s="61"/>
      <c r="I126" s="61"/>
      <c r="J126" s="61"/>
      <c r="K126" s="62"/>
      <c r="L126" s="35"/>
      <c r="M126" s="4"/>
      <c r="N126" s="4"/>
      <c r="O126" s="4"/>
    </row>
    <row r="127" ht="12" customHeight="1">
      <c r="A127" s="4"/>
      <c r="B127" s="4"/>
      <c r="C127" s="4"/>
      <c r="D127" s="4"/>
      <c r="E127" s="4"/>
      <c r="F127" s="45"/>
      <c r="G127" s="35"/>
      <c r="H127" t="s" s="3">
        <v>131</v>
      </c>
      <c r="I127" s="63"/>
      <c r="J127" s="63">
        <f>PRODUCT(M8:M117)^(1/COUNT(M8:M117))-1</f>
        <v>0.1067156025465124</v>
      </c>
      <c r="K127" s="38">
        <f>PRODUCT(N8:N117)^(1/COUNT(N8:N117))-1</f>
        <v>0.08235979623234857</v>
      </c>
      <c r="L127" s="35"/>
      <c r="M127" s="4"/>
      <c r="N127" s="4"/>
      <c r="O127" s="4"/>
    </row>
    <row r="128" ht="12" customHeight="1">
      <c r="A128" s="4"/>
      <c r="B128" s="4"/>
      <c r="C128" s="4"/>
      <c r="D128" s="4"/>
      <c r="E128" s="4"/>
      <c r="F128" s="45"/>
      <c r="G128" s="35"/>
      <c r="H128" t="s" s="3">
        <v>132</v>
      </c>
      <c r="I128" s="8"/>
      <c r="J128" s="8">
        <f>(1+J127)^2-1</f>
        <v>0.2248194249198898</v>
      </c>
      <c r="K128" s="38">
        <f>(1+K127)^2-1</f>
        <v>0.1715027285001312</v>
      </c>
      <c r="L128" s="35"/>
      <c r="M128" s="4"/>
      <c r="N128" s="4"/>
      <c r="O128" s="4"/>
    </row>
    <row r="129" ht="12" customHeight="1">
      <c r="A129" s="4"/>
      <c r="B129" s="4"/>
      <c r="C129" s="4"/>
      <c r="D129" s="4"/>
      <c r="E129" s="4"/>
      <c r="F129" s="45"/>
      <c r="G129" s="40"/>
      <c r="H129" t="s" s="43">
        <v>133</v>
      </c>
      <c r="I129" s="42"/>
      <c r="J129" s="42">
        <f>STDEV(M8:M117)</f>
        <v>0.3083257681580106</v>
      </c>
      <c r="K129" s="44"/>
      <c r="L129" s="35"/>
      <c r="M129" s="4"/>
      <c r="N129" s="4"/>
      <c r="O129" s="4"/>
    </row>
    <row r="130" ht="12" customHeight="1">
      <c r="A130" s="4"/>
      <c r="B130" s="4"/>
      <c r="C130" s="4"/>
      <c r="D130" s="4"/>
      <c r="E130" s="4"/>
      <c r="F130" s="4"/>
      <c r="G130" s="61"/>
      <c r="H130" s="61"/>
      <c r="I130" s="64"/>
      <c r="J130" s="64"/>
      <c r="K130" s="61"/>
      <c r="L130" s="4"/>
      <c r="M130" s="4"/>
      <c r="N130" s="4"/>
      <c r="O130" s="4"/>
    </row>
    <row r="131" ht="12" customHeight="1">
      <c r="A131" t="s" s="3">
        <v>135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ht="12" customHeight="1">
      <c r="A132" s="4"/>
      <c r="B132" t="s" s="3">
        <v>136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ht="12" customHeight="1">
      <c r="A133" s="4"/>
      <c r="B133" t="s" s="3">
        <v>137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ht="12" customHeight="1">
      <c r="A134" s="4"/>
      <c r="B134" s="4"/>
      <c r="C134" t="s" s="3">
        <v>138</v>
      </c>
      <c r="D134" s="3"/>
      <c r="E134" s="3"/>
      <c r="F134" s="3"/>
      <c r="G134" s="3"/>
      <c r="H134" s="3"/>
      <c r="I134" s="3"/>
      <c r="J134" s="4"/>
      <c r="K134" s="4"/>
      <c r="L134" s="4"/>
      <c r="M134" s="4"/>
      <c r="N134" s="4"/>
      <c r="O134" s="4"/>
    </row>
    <row r="135" ht="12" customHeight="1">
      <c r="A135" s="4"/>
      <c r="B135" t="s" s="3">
        <v>139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ht="12" customHeight="1">
      <c r="A136" s="4"/>
      <c r="B136" t="s" s="3">
        <v>140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ht="12" customHeight="1">
      <c r="A137" s="4"/>
      <c r="B137" t="s" s="3">
        <v>141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ht="12" customHeight="1">
      <c r="A138" s="4"/>
      <c r="B138" t="s" s="3">
        <v>142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ht="12" customHeight="1">
      <c r="A139" s="4"/>
      <c r="B139" s="3"/>
      <c r="C139" t="s" s="3">
        <v>143</v>
      </c>
      <c r="D139" s="3"/>
      <c r="E139" s="3"/>
      <c r="F139" s="3"/>
      <c r="G139" s="3"/>
      <c r="H139" s="4"/>
      <c r="I139" s="4"/>
      <c r="J139" s="4"/>
      <c r="K139" s="4"/>
      <c r="L139" s="4"/>
      <c r="M139" s="4"/>
      <c r="N139" s="4"/>
      <c r="O139" s="4"/>
    </row>
    <row r="140" ht="12" customHeight="1">
      <c r="A140" s="4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</sheetData>
  <pageMargins left="0.75" right="0.75" top="1" bottom="1" header="0.5" footer="0.5"/>
  <pageSetup firstPageNumber="1" fitToHeight="1" fitToWidth="1" scale="62" useFirstPageNumber="0" orientation="landscape" pageOrder="downThenOver"/>
  <headerFooter>
    <oddFooter>&amp;L&amp;"Helvetica,Regular"&amp;11&amp;K000000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B2:P226"/>
  <sheetViews>
    <sheetView workbookViewId="0" showGridLines="0" defaultGridColor="1"/>
  </sheetViews>
  <sheetFormatPr defaultColWidth="9.125" defaultRowHeight="11.45" customHeight="1" outlineLevelRow="0" outlineLevelCol="0"/>
  <cols>
    <col min="1" max="1" width="0.125" style="65" customWidth="1"/>
    <col min="2" max="2" width="9.125" style="65" customWidth="1"/>
    <col min="3" max="3" width="6.25" style="65" customWidth="1"/>
    <col min="4" max="4" width="6.625" style="65" customWidth="1"/>
    <col min="5" max="5" width="7.25" style="65" customWidth="1"/>
    <col min="6" max="6" width="1.125" style="65" customWidth="1"/>
    <col min="7" max="7" width="7.875" style="65" customWidth="1"/>
    <col min="8" max="8" width="7.625" style="65" customWidth="1"/>
    <col min="9" max="9" width="7" style="65" customWidth="1"/>
    <col min="10" max="10" width="6.625" style="65" customWidth="1"/>
    <col min="11" max="11" width="7" style="65" customWidth="1"/>
    <col min="12" max="12" width="6.625" style="65" customWidth="1"/>
    <col min="13" max="13" width="6.625" style="65" customWidth="1"/>
    <col min="14" max="14" width="8.25" style="65" customWidth="1"/>
    <col min="15" max="15" width="4.875" style="65" customWidth="1"/>
    <col min="16" max="16" width="27.8516" style="65" customWidth="1"/>
    <col min="17" max="256" width="9.125" style="65" customWidth="1"/>
  </cols>
  <sheetData>
    <row r="1" ht="1" customHeight="1"/>
    <row r="2" ht="12" customHeight="1">
      <c r="B2" t="s" s="2">
        <v>144</v>
      </c>
      <c r="C2" s="6"/>
      <c r="D2" s="3"/>
      <c r="E2" s="3"/>
      <c r="F2" s="3"/>
      <c r="G2" s="6"/>
      <c r="H2" s="7"/>
      <c r="I2" s="3"/>
      <c r="J2" s="7"/>
      <c r="K2" s="4"/>
      <c r="L2" s="4"/>
      <c r="M2" s="4"/>
      <c r="N2" s="4"/>
      <c r="O2" s="4"/>
      <c r="P2" s="66"/>
    </row>
    <row r="3" ht="12" customHeight="1">
      <c r="B3" s="4"/>
      <c r="C3" s="6"/>
      <c r="D3" s="4"/>
      <c r="E3" s="4"/>
      <c r="F3" s="4"/>
      <c r="G3" s="6"/>
      <c r="H3" s="7"/>
      <c r="I3" s="4"/>
      <c r="J3" s="7"/>
      <c r="K3" t="s" s="3">
        <v>131</v>
      </c>
      <c r="L3" s="3"/>
      <c r="M3" s="4"/>
      <c r="N3" s="3"/>
      <c r="O3" s="4"/>
      <c r="P3" s="66"/>
    </row>
    <row r="4" ht="12" customHeight="1">
      <c r="B4" t="s" s="3">
        <v>145</v>
      </c>
      <c r="C4" t="s" s="3">
        <v>146</v>
      </c>
      <c r="D4" t="s" s="3">
        <v>5</v>
      </c>
      <c r="E4" t="s" s="3">
        <v>6</v>
      </c>
      <c r="F4" s="4"/>
      <c r="G4" t="s" s="3">
        <v>146</v>
      </c>
      <c r="H4" t="s" s="3">
        <v>147</v>
      </c>
      <c r="I4" t="s" s="3">
        <v>6</v>
      </c>
      <c r="J4" t="s" s="3">
        <v>9</v>
      </c>
      <c r="K4" t="s" s="3">
        <v>12</v>
      </c>
      <c r="L4" t="s" s="3">
        <v>6</v>
      </c>
      <c r="M4" t="s" s="3">
        <v>13</v>
      </c>
      <c r="N4" s="3"/>
      <c r="O4" t="s" s="3">
        <v>148</v>
      </c>
      <c r="P4" s="66"/>
    </row>
    <row r="5" ht="12" customHeight="1">
      <c r="B5" t="s" s="3">
        <v>149</v>
      </c>
      <c r="C5" s="6">
        <v>38527</v>
      </c>
      <c r="D5" s="3">
        <v>34.05</v>
      </c>
      <c r="E5" s="3">
        <v>1191.57</v>
      </c>
      <c r="F5" s="4"/>
      <c r="G5" s="6">
        <v>39078</v>
      </c>
      <c r="H5" s="7">
        <v>18.71</v>
      </c>
      <c r="I5" s="9">
        <v>1256.54</v>
      </c>
      <c r="J5" s="7"/>
      <c r="K5" s="9">
        <f>(H5+J5)/D5</f>
        <v>0.5494860499265787</v>
      </c>
      <c r="L5" s="9">
        <f>I5/E5</f>
        <v>1.054524702703156</v>
      </c>
      <c r="M5" s="9">
        <f>K5-(I5/E5)+1</f>
        <v>0.4949613472234223</v>
      </c>
      <c r="N5" s="9"/>
      <c r="O5" t="s" s="3">
        <v>150</v>
      </c>
      <c r="P5" s="66"/>
    </row>
    <row r="6" ht="12" customHeight="1">
      <c r="B6" t="s" s="3">
        <v>25</v>
      </c>
      <c r="C6" s="6">
        <v>38548</v>
      </c>
      <c r="D6" s="3">
        <v>15.7</v>
      </c>
      <c r="E6" s="3">
        <v>1227.92</v>
      </c>
      <c r="F6" s="4"/>
      <c r="G6" s="6">
        <v>38734</v>
      </c>
      <c r="H6" s="7">
        <v>15.46</v>
      </c>
      <c r="I6" s="9">
        <v>1283.03</v>
      </c>
      <c r="J6" s="7"/>
      <c r="K6" s="9">
        <f>(H6+J6)/D6</f>
        <v>0.9847133757961785</v>
      </c>
      <c r="L6" s="9">
        <f>I6/E6</f>
        <v>1.044880773991791</v>
      </c>
      <c r="M6" s="9">
        <f>K6-(I6/E6)+1</f>
        <v>0.9398326018043875</v>
      </c>
      <c r="N6" s="9"/>
      <c r="O6" t="s" s="3">
        <v>150</v>
      </c>
      <c r="P6" s="66"/>
    </row>
    <row r="7" ht="12" customHeight="1">
      <c r="B7" t="s" s="3">
        <v>151</v>
      </c>
      <c r="C7" s="6">
        <v>38548</v>
      </c>
      <c r="D7" s="3">
        <v>6.01</v>
      </c>
      <c r="E7" s="3">
        <v>1227.92</v>
      </c>
      <c r="F7" s="4"/>
      <c r="G7" s="6">
        <v>38734</v>
      </c>
      <c r="H7" s="7">
        <v>5.15</v>
      </c>
      <c r="I7" s="9">
        <v>1283.03</v>
      </c>
      <c r="J7" s="7"/>
      <c r="K7" s="9">
        <f>(H7+J7)/D7</f>
        <v>0.8569051580698837</v>
      </c>
      <c r="L7" s="9">
        <f>I7/E7</f>
        <v>1.044880773991791</v>
      </c>
      <c r="M7" s="9">
        <f>K7-(I7/E7)+1</f>
        <v>0.8120243840780927</v>
      </c>
      <c r="N7" s="9"/>
      <c r="O7" t="s" s="3">
        <v>152</v>
      </c>
      <c r="P7" s="66"/>
    </row>
    <row r="8" ht="12" customHeight="1">
      <c r="B8" t="s" s="3">
        <v>153</v>
      </c>
      <c r="C8" s="6">
        <v>38562</v>
      </c>
      <c r="D8" s="3">
        <v>24.34</v>
      </c>
      <c r="E8" s="3">
        <v>1199.85</v>
      </c>
      <c r="F8" s="4"/>
      <c r="G8" s="6">
        <v>38747</v>
      </c>
      <c r="H8" s="7">
        <v>26.31</v>
      </c>
      <c r="I8" s="9">
        <v>1285.19</v>
      </c>
      <c r="J8" s="7"/>
      <c r="K8" s="9">
        <f>(H8+J8)/D8</f>
        <v>1.080936729663106</v>
      </c>
      <c r="L8" s="9">
        <f>I8/E8</f>
        <v>1.071125557361337</v>
      </c>
      <c r="M8" s="9">
        <f>K8-(I8/E8)+1</f>
        <v>1.009811172301769</v>
      </c>
      <c r="N8" s="9"/>
      <c r="O8" t="s" s="3">
        <v>154</v>
      </c>
      <c r="P8" s="66"/>
    </row>
    <row r="9" ht="12" customHeight="1">
      <c r="B9" t="s" s="3">
        <v>22</v>
      </c>
      <c r="C9" s="6">
        <v>38567</v>
      </c>
      <c r="D9" s="3">
        <v>12.35</v>
      </c>
      <c r="E9" s="3">
        <v>1245.04</v>
      </c>
      <c r="F9" s="4"/>
      <c r="G9" s="6">
        <v>38751</v>
      </c>
      <c r="H9" s="7">
        <v>17.46</v>
      </c>
      <c r="I9" s="9">
        <v>1264.03</v>
      </c>
      <c r="J9" s="7"/>
      <c r="K9" s="9">
        <f>(H9+J9)/D9</f>
        <v>1.413765182186235</v>
      </c>
      <c r="L9" s="9">
        <f>I9/E9</f>
        <v>1.015252522007325</v>
      </c>
      <c r="M9" s="9">
        <f>K9-(I9/E9)+1</f>
        <v>1.39851266017891</v>
      </c>
      <c r="N9" s="9"/>
      <c r="O9" t="s" s="3">
        <v>150</v>
      </c>
      <c r="P9" s="66"/>
    </row>
    <row r="10" ht="12" customHeight="1">
      <c r="B10" t="s" s="3">
        <v>155</v>
      </c>
      <c r="C10" s="6">
        <v>38611</v>
      </c>
      <c r="D10" s="3">
        <v>1.55</v>
      </c>
      <c r="E10" s="3">
        <v>1237.91</v>
      </c>
      <c r="F10" s="4"/>
      <c r="G10" s="6">
        <v>38792</v>
      </c>
      <c r="H10" s="7">
        <v>1.77</v>
      </c>
      <c r="I10" s="9">
        <v>1305.33</v>
      </c>
      <c r="J10" s="7"/>
      <c r="K10" s="9">
        <f>(H10+J10)/D10</f>
        <v>1.141935483870968</v>
      </c>
      <c r="L10" s="9">
        <f>I10/E10</f>
        <v>1.054462763851976</v>
      </c>
      <c r="M10" s="9">
        <f>K10-(I10/E10)+1</f>
        <v>1.087472720018992</v>
      </c>
      <c r="N10" s="9"/>
      <c r="O10" t="s" s="3">
        <v>150</v>
      </c>
      <c r="P10" s="66"/>
    </row>
    <row r="11" ht="12" customHeight="1">
      <c r="B11" t="s" s="3">
        <v>156</v>
      </c>
      <c r="C11" s="6">
        <v>38611</v>
      </c>
      <c r="D11" s="3">
        <v>36.6</v>
      </c>
      <c r="E11" s="3">
        <v>1237.91</v>
      </c>
      <c r="F11" s="4"/>
      <c r="G11" s="6">
        <v>38792</v>
      </c>
      <c r="H11" s="7">
        <v>46.05</v>
      </c>
      <c r="I11" s="9">
        <v>1305.33</v>
      </c>
      <c r="J11" s="7">
        <v>0.22</v>
      </c>
      <c r="K11" s="9">
        <f>(H11+J11)/D11</f>
        <v>1.264207650273224</v>
      </c>
      <c r="L11" s="9">
        <f>I11/E11</f>
        <v>1.054462763851976</v>
      </c>
      <c r="M11" s="9">
        <f>K11-(I11/E11)+1</f>
        <v>1.209744886421248</v>
      </c>
      <c r="N11" s="9"/>
      <c r="O11" t="s" s="3">
        <v>150</v>
      </c>
      <c r="P11" s="66"/>
    </row>
    <row r="12" ht="12" customHeight="1">
      <c r="B12" t="s" s="3">
        <v>157</v>
      </c>
      <c r="C12" s="6">
        <v>38625</v>
      </c>
      <c r="D12" s="3">
        <v>24.65</v>
      </c>
      <c r="E12" s="3">
        <v>1228.81</v>
      </c>
      <c r="F12" s="4"/>
      <c r="G12" s="6">
        <v>38806</v>
      </c>
      <c r="H12" s="7">
        <v>43.28</v>
      </c>
      <c r="I12" s="9">
        <v>1300.25</v>
      </c>
      <c r="J12" s="7"/>
      <c r="K12" s="9">
        <f>(H12+J12)/D12</f>
        <v>1.75578093306288</v>
      </c>
      <c r="L12" s="9">
        <f>I12/E12</f>
        <v>1.058137547708759</v>
      </c>
      <c r="M12" s="9">
        <f>K12-(I12/E12)+1</f>
        <v>1.697643385354122</v>
      </c>
      <c r="N12" s="9"/>
      <c r="O12" t="s" s="3">
        <v>154</v>
      </c>
      <c r="P12" s="66"/>
    </row>
    <row r="13" ht="12" customHeight="1">
      <c r="B13" t="s" s="3">
        <v>158</v>
      </c>
      <c r="C13" s="6">
        <v>38642</v>
      </c>
      <c r="D13" s="3">
        <v>23.2</v>
      </c>
      <c r="E13" s="3">
        <v>1190.1</v>
      </c>
      <c r="F13" s="4"/>
      <c r="G13" s="6">
        <v>38824</v>
      </c>
      <c r="H13" s="7">
        <v>23.6</v>
      </c>
      <c r="I13" s="9">
        <v>1285.33</v>
      </c>
      <c r="J13" s="7">
        <v>0.5</v>
      </c>
      <c r="K13" s="9">
        <f>(H13+J13)/D13</f>
        <v>1.038793103448276</v>
      </c>
      <c r="L13" s="9">
        <f>I13/E13</f>
        <v>1.080018485841526</v>
      </c>
      <c r="M13" s="9">
        <f>K13-(I13/E13)+1</f>
        <v>0.95877461760675</v>
      </c>
      <c r="N13" s="9"/>
      <c r="O13" t="s" s="3">
        <v>150</v>
      </c>
      <c r="P13" s="66"/>
    </row>
    <row r="14" ht="12" customHeight="1">
      <c r="B14" t="s" s="3">
        <v>159</v>
      </c>
      <c r="C14" s="6">
        <v>38670</v>
      </c>
      <c r="D14" s="3">
        <v>19</v>
      </c>
      <c r="E14" s="3">
        <v>1233.76</v>
      </c>
      <c r="F14" s="4"/>
      <c r="G14" s="6">
        <v>38852</v>
      </c>
      <c r="H14" s="7">
        <v>22.33</v>
      </c>
      <c r="I14" s="9">
        <v>1294.5</v>
      </c>
      <c r="J14" s="7"/>
      <c r="K14" s="9">
        <f>(H14+J14)/D14</f>
        <v>1.175263157894737</v>
      </c>
      <c r="L14" s="9">
        <f>I14/E14</f>
        <v>1.049231617170276</v>
      </c>
      <c r="M14" s="9">
        <f>K14-(I14/E14)+1</f>
        <v>1.126031540724461</v>
      </c>
      <c r="N14" s="9"/>
      <c r="O14" t="s" s="3">
        <v>154</v>
      </c>
      <c r="P14" s="66"/>
    </row>
    <row r="15" ht="12" customHeight="1">
      <c r="B15" t="s" s="3">
        <v>160</v>
      </c>
      <c r="C15" s="6">
        <v>38679</v>
      </c>
      <c r="D15" s="3">
        <v>14.12</v>
      </c>
      <c r="E15" s="3">
        <v>1265.61</v>
      </c>
      <c r="F15" s="4"/>
      <c r="G15" s="6">
        <v>38860</v>
      </c>
      <c r="H15" s="7">
        <v>14.35</v>
      </c>
      <c r="I15" s="9">
        <v>1256.58</v>
      </c>
      <c r="J15" s="7">
        <v>0.05</v>
      </c>
      <c r="K15" s="9">
        <f>(H15+J15)/D15</f>
        <v>1.019830028328612</v>
      </c>
      <c r="L15" s="9">
        <f>I15/E15</f>
        <v>0.9928651006234148</v>
      </c>
      <c r="M15" s="9">
        <f>K15-(I15/E15)+1</f>
        <v>1.026964927705197</v>
      </c>
      <c r="N15" s="9"/>
      <c r="O15" t="s" s="3">
        <v>154</v>
      </c>
      <c r="P15" s="66"/>
    </row>
    <row r="16" ht="12" customHeight="1">
      <c r="B16" t="s" s="3">
        <v>161</v>
      </c>
      <c r="C16" s="6">
        <v>38701</v>
      </c>
      <c r="D16" s="3">
        <v>10.55</v>
      </c>
      <c r="E16" s="3">
        <v>1270.94</v>
      </c>
      <c r="F16" s="4"/>
      <c r="G16" s="6">
        <v>38883</v>
      </c>
      <c r="H16" s="7">
        <v>21.69</v>
      </c>
      <c r="I16" s="9">
        <v>1256.16</v>
      </c>
      <c r="J16" s="7"/>
      <c r="K16" s="9">
        <f>(H16+J16)/D16</f>
        <v>2.055924170616114</v>
      </c>
      <c r="L16" s="9">
        <f>I16/E16</f>
        <v>0.9883708121547831</v>
      </c>
      <c r="M16" s="9">
        <f>K16-(I16/E16)+1</f>
        <v>2.067553358461331</v>
      </c>
      <c r="N16" s="9"/>
      <c r="O16" t="s" s="3">
        <v>150</v>
      </c>
      <c r="P16" s="66"/>
    </row>
    <row r="17" ht="12" customHeight="1">
      <c r="B17" t="s" s="3">
        <v>162</v>
      </c>
      <c r="C17" s="6">
        <v>38702</v>
      </c>
      <c r="D17" s="3">
        <v>8.5</v>
      </c>
      <c r="E17" s="3">
        <v>1267.32</v>
      </c>
      <c r="F17" s="4"/>
      <c r="G17" s="6">
        <v>38884</v>
      </c>
      <c r="H17" s="7">
        <v>8.32</v>
      </c>
      <c r="I17" s="9">
        <v>1251.54</v>
      </c>
      <c r="J17" s="7"/>
      <c r="K17" s="9">
        <f>(H17+J17)/D17</f>
        <v>0.9788235294117648</v>
      </c>
      <c r="L17" s="9">
        <f>I17/E17</f>
        <v>0.9875485276015529</v>
      </c>
      <c r="M17" s="9">
        <f>K17-(I17/E17)+1</f>
        <v>0.9912750018102119</v>
      </c>
      <c r="N17" s="9"/>
      <c r="O17" t="s" s="3">
        <v>150</v>
      </c>
      <c r="P17" s="66"/>
    </row>
    <row r="18" ht="12" customHeight="1">
      <c r="B18" t="s" s="3">
        <v>163</v>
      </c>
      <c r="C18" s="6">
        <v>38705</v>
      </c>
      <c r="D18" s="3">
        <v>13.71</v>
      </c>
      <c r="E18" s="3">
        <v>1259.92</v>
      </c>
      <c r="F18" s="4"/>
      <c r="G18" s="6">
        <v>38891</v>
      </c>
      <c r="H18" s="7">
        <v>14.67</v>
      </c>
      <c r="I18" s="9">
        <v>1244.5</v>
      </c>
      <c r="J18" s="7"/>
      <c r="K18" s="9">
        <f>(H18+J18)/D18</f>
        <v>1.070021881838074</v>
      </c>
      <c r="L18" s="9">
        <f>I18/E18</f>
        <v>0.9877611276906469</v>
      </c>
      <c r="M18" s="9">
        <f>K18-(I18/E18)+1</f>
        <v>1.082260754147427</v>
      </c>
      <c r="N18" s="9"/>
      <c r="O18" t="s" s="3">
        <v>154</v>
      </c>
      <c r="P18" s="66"/>
    </row>
    <row r="19" ht="12" customHeight="1">
      <c r="B19" t="s" s="3">
        <v>164</v>
      </c>
      <c r="C19" s="6">
        <v>38707</v>
      </c>
      <c r="D19" s="3">
        <v>15.5</v>
      </c>
      <c r="E19" s="3">
        <v>1262.79</v>
      </c>
      <c r="F19" s="4"/>
      <c r="G19" s="6">
        <v>38889</v>
      </c>
      <c r="H19" s="7">
        <v>7.74</v>
      </c>
      <c r="I19" s="9">
        <v>1252.2</v>
      </c>
      <c r="J19" s="7"/>
      <c r="K19" s="9">
        <f>(H19+J19)/D19</f>
        <v>0.4993548387096775</v>
      </c>
      <c r="L19" s="9">
        <f>I19/E19</f>
        <v>0.9916138075214407</v>
      </c>
      <c r="M19" s="9">
        <f>K19-(I19/E19)+1</f>
        <v>0.5077410311882368</v>
      </c>
      <c r="N19" s="9"/>
      <c r="O19" t="s" s="3">
        <v>150</v>
      </c>
      <c r="P19" s="66"/>
    </row>
    <row r="20" ht="12" customHeight="1">
      <c r="B20" t="s" s="3">
        <v>29</v>
      </c>
      <c r="C20" s="6">
        <v>38720</v>
      </c>
      <c r="D20" s="3">
        <v>25.84</v>
      </c>
      <c r="E20" s="3">
        <v>1268.8</v>
      </c>
      <c r="F20" s="4"/>
      <c r="G20" s="6">
        <v>38901</v>
      </c>
      <c r="H20" s="7">
        <v>27.11</v>
      </c>
      <c r="I20" s="9">
        <v>1280.19</v>
      </c>
      <c r="J20" s="7">
        <v>0.34</v>
      </c>
      <c r="K20" s="9">
        <f>(H20+J20)/D20</f>
        <v>1.062306501547988</v>
      </c>
      <c r="L20" s="9">
        <f>I20/E20</f>
        <v>1.008976986128626</v>
      </c>
      <c r="M20" s="9">
        <f>K20-(I20/E20)+1</f>
        <v>1.053329515419362</v>
      </c>
      <c r="N20" s="9"/>
      <c r="O20" t="s" s="3">
        <v>150</v>
      </c>
      <c r="P20" s="66"/>
    </row>
    <row r="21" ht="12" customHeight="1">
      <c r="B21" t="s" s="3">
        <v>165</v>
      </c>
      <c r="C21" s="6">
        <v>38744</v>
      </c>
      <c r="D21" s="3">
        <v>42.2</v>
      </c>
      <c r="E21" s="3">
        <v>1283.72</v>
      </c>
      <c r="F21" s="4"/>
      <c r="G21" s="6">
        <v>38925</v>
      </c>
      <c r="H21" s="7">
        <v>50.94</v>
      </c>
      <c r="I21" s="9">
        <v>1263.2</v>
      </c>
      <c r="J21" s="7"/>
      <c r="K21" s="9">
        <f>(H21+J21)/D21</f>
        <v>1.207109004739336</v>
      </c>
      <c r="L21" s="9">
        <f>I21/E21</f>
        <v>0.9840152058081202</v>
      </c>
      <c r="M21" s="9">
        <f>K21-(I21/E21)+1</f>
        <v>1.223093798931216</v>
      </c>
      <c r="N21" s="9"/>
      <c r="O21" t="s" s="3">
        <v>154</v>
      </c>
      <c r="P21" s="66"/>
    </row>
    <row r="22" ht="12" customHeight="1">
      <c r="B22" t="s" s="3">
        <v>166</v>
      </c>
      <c r="C22" s="6">
        <v>38737</v>
      </c>
      <c r="D22" s="3">
        <v>22.6</v>
      </c>
      <c r="E22" s="3">
        <v>1260.72</v>
      </c>
      <c r="F22" s="4"/>
      <c r="G22" s="6">
        <v>38918</v>
      </c>
      <c r="H22" s="7">
        <v>25.99</v>
      </c>
      <c r="I22" s="9">
        <v>1249.13</v>
      </c>
      <c r="J22" s="7"/>
      <c r="K22" s="9">
        <f>(H22+J22)/D22</f>
        <v>1.15</v>
      </c>
      <c r="L22" s="9">
        <f>I22/E22</f>
        <v>0.990806840535567</v>
      </c>
      <c r="M22" s="9">
        <f>K22-(I22/E22)+1</f>
        <v>1.159193159464433</v>
      </c>
      <c r="N22" s="9"/>
      <c r="O22" t="s" s="3">
        <v>154</v>
      </c>
      <c r="P22" s="66"/>
    </row>
    <row r="23" ht="12" customHeight="1">
      <c r="B23" t="s" s="3">
        <v>167</v>
      </c>
      <c r="C23" s="6">
        <v>38761</v>
      </c>
      <c r="D23" s="3">
        <v>18.5</v>
      </c>
      <c r="E23" s="3">
        <v>1262.86</v>
      </c>
      <c r="F23" s="4"/>
      <c r="G23" s="6">
        <v>38943</v>
      </c>
      <c r="H23" s="7">
        <v>17.07</v>
      </c>
      <c r="I23" s="9">
        <v>1268.21</v>
      </c>
      <c r="J23" s="7"/>
      <c r="K23" s="9">
        <f>(H23+J23)/D23</f>
        <v>0.9227027027027027</v>
      </c>
      <c r="L23" s="9">
        <f>I23/E23</f>
        <v>1.004236415754716</v>
      </c>
      <c r="M23" s="9">
        <f>K23-(I23/E23)+1</f>
        <v>0.918466286947987</v>
      </c>
      <c r="N23" s="9"/>
      <c r="O23" t="s" s="3">
        <v>154</v>
      </c>
      <c r="P23" s="66"/>
    </row>
    <row r="24" ht="12" customHeight="1">
      <c r="B24" t="s" s="3">
        <v>168</v>
      </c>
      <c r="C24" s="6">
        <v>38777</v>
      </c>
      <c r="D24" s="3">
        <v>36.5</v>
      </c>
      <c r="E24" s="3">
        <v>1291.24</v>
      </c>
      <c r="F24" s="4"/>
      <c r="G24" s="6">
        <v>38965</v>
      </c>
      <c r="H24" s="7">
        <v>34</v>
      </c>
      <c r="I24" s="9">
        <v>1311.01</v>
      </c>
      <c r="J24" s="7"/>
      <c r="K24" s="9">
        <f>(H24+J24)/D24</f>
        <v>0.9315068493150684</v>
      </c>
      <c r="L24" s="9">
        <f>I24/E24</f>
        <v>1.015310863975713</v>
      </c>
      <c r="M24" s="9">
        <f>K24-(I24/E24)+1</f>
        <v>0.9161959853393551</v>
      </c>
      <c r="N24" s="9"/>
      <c r="O24" t="s" s="3">
        <v>150</v>
      </c>
      <c r="P24" s="66"/>
    </row>
    <row r="25" ht="12" customHeight="1">
      <c r="B25" t="s" s="3">
        <v>169</v>
      </c>
      <c r="C25" s="6">
        <v>38798</v>
      </c>
      <c r="D25" s="3">
        <v>21.6</v>
      </c>
      <c r="E25" s="3">
        <v>1305.08</v>
      </c>
      <c r="F25" s="4"/>
      <c r="G25" s="6">
        <v>38982</v>
      </c>
      <c r="H25" s="7">
        <v>17.85</v>
      </c>
      <c r="I25" s="9">
        <v>1314.78</v>
      </c>
      <c r="J25" s="7"/>
      <c r="K25" s="9">
        <f>(H25+J25)/D25</f>
        <v>0.826388888888889</v>
      </c>
      <c r="L25" s="9">
        <f>I25/E25</f>
        <v>1.007432494559721</v>
      </c>
      <c r="M25" s="9">
        <f>K25-(I25/E25)+1</f>
        <v>0.8189563943291683</v>
      </c>
      <c r="N25" s="9"/>
      <c r="O25" t="s" s="3">
        <v>152</v>
      </c>
      <c r="P25" s="66"/>
    </row>
    <row r="26" ht="12" customHeight="1">
      <c r="B26" t="s" s="3">
        <v>170</v>
      </c>
      <c r="C26" s="6">
        <v>38796</v>
      </c>
      <c r="D26" s="3">
        <v>16.82</v>
      </c>
      <c r="E26" s="3">
        <v>1305.04</v>
      </c>
      <c r="F26" s="4"/>
      <c r="G26" s="6">
        <v>38980</v>
      </c>
      <c r="H26" s="7">
        <v>19.59</v>
      </c>
      <c r="I26" s="9">
        <v>1325.18</v>
      </c>
      <c r="J26" s="7">
        <v>0.12</v>
      </c>
      <c r="K26" s="9">
        <f>(H26+J26)/D26</f>
        <v>1.171819262782402</v>
      </c>
      <c r="L26" s="9">
        <f>I26/E26</f>
        <v>1.015432477165451</v>
      </c>
      <c r="M26" s="9">
        <f>K26-(I26/E26)+1</f>
        <v>1.156386785616951</v>
      </c>
      <c r="N26" s="9"/>
      <c r="O26" t="s" s="3">
        <v>150</v>
      </c>
      <c r="P26" s="66"/>
    </row>
    <row r="27" ht="12" customHeight="1">
      <c r="B27" t="s" s="3">
        <v>171</v>
      </c>
      <c r="C27" s="6">
        <v>38817</v>
      </c>
      <c r="D27" s="3">
        <v>27.98</v>
      </c>
      <c r="E27" s="3">
        <v>1296.6</v>
      </c>
      <c r="F27" s="4"/>
      <c r="G27" s="6">
        <v>39000</v>
      </c>
      <c r="H27" s="7">
        <v>25.99</v>
      </c>
      <c r="I27" s="9">
        <v>1353.27</v>
      </c>
      <c r="J27" s="7">
        <v>0.45</v>
      </c>
      <c r="K27" s="9">
        <f>(H27+J27)/D27</f>
        <v>0.9449606862044316</v>
      </c>
      <c r="L27" s="9">
        <f>I27/E27</f>
        <v>1.043706617306802</v>
      </c>
      <c r="M27" s="9">
        <f>K27-(I27/E27)+1</f>
        <v>0.9012540688976293</v>
      </c>
      <c r="N27" s="9"/>
      <c r="O27" t="s" s="3">
        <v>150</v>
      </c>
      <c r="P27" s="66"/>
    </row>
    <row r="28" ht="12" customHeight="1">
      <c r="B28" t="s" s="3">
        <v>172</v>
      </c>
      <c r="C28" s="6">
        <v>38855</v>
      </c>
      <c r="D28" s="3">
        <v>42.22</v>
      </c>
      <c r="E28" s="3">
        <v>1261.81</v>
      </c>
      <c r="F28" s="4"/>
      <c r="G28" s="6">
        <v>39041</v>
      </c>
      <c r="H28" s="7">
        <v>50.41</v>
      </c>
      <c r="I28" s="9">
        <v>1400.5</v>
      </c>
      <c r="J28" s="7">
        <v>0.5</v>
      </c>
      <c r="K28" s="9">
        <f>(H28+J28)/D28</f>
        <v>1.205826622453813</v>
      </c>
      <c r="L28" s="9">
        <f>I28/E28</f>
        <v>1.109913536903337</v>
      </c>
      <c r="M28" s="9">
        <f>K28-(I28/E28)+1</f>
        <v>1.095913085550476</v>
      </c>
      <c r="N28" s="9"/>
      <c r="O28" t="s" s="3">
        <v>150</v>
      </c>
      <c r="P28" s="66"/>
    </row>
    <row r="29" ht="12" customHeight="1">
      <c r="B29" t="s" s="3">
        <v>173</v>
      </c>
      <c r="C29" s="6">
        <v>38855</v>
      </c>
      <c r="D29" s="3">
        <v>42.15</v>
      </c>
      <c r="E29" s="3">
        <v>1261.81</v>
      </c>
      <c r="F29" s="4"/>
      <c r="G29" s="6">
        <v>39041</v>
      </c>
      <c r="H29" s="7">
        <v>49.25</v>
      </c>
      <c r="I29" s="9">
        <v>1400.5</v>
      </c>
      <c r="J29" s="7"/>
      <c r="K29" s="9">
        <f>(H29+J29)/D29</f>
        <v>1.168446026097272</v>
      </c>
      <c r="L29" s="9">
        <f>I29/E29</f>
        <v>1.109913536903337</v>
      </c>
      <c r="M29" s="9">
        <f>K29-(I29/E29)+1</f>
        <v>1.058532489193935</v>
      </c>
      <c r="N29" s="9"/>
      <c r="O29" t="s" s="3">
        <v>150</v>
      </c>
      <c r="P29" s="66"/>
    </row>
    <row r="30" ht="12" customHeight="1">
      <c r="B30" t="s" s="3">
        <v>174</v>
      </c>
      <c r="C30" s="6">
        <v>38867</v>
      </c>
      <c r="D30" s="3">
        <v>16.34</v>
      </c>
      <c r="E30" s="3">
        <v>1259.84</v>
      </c>
      <c r="F30" s="4"/>
      <c r="G30" s="6">
        <v>39051</v>
      </c>
      <c r="H30" s="7">
        <v>15.5</v>
      </c>
      <c r="I30" s="9">
        <v>1400.63</v>
      </c>
      <c r="J30" s="7">
        <v>0.02</v>
      </c>
      <c r="K30" s="9">
        <f>(H30+J30)/D30</f>
        <v>0.9498164014687882</v>
      </c>
      <c r="L30" s="9">
        <f>I30/E30</f>
        <v>1.111752286004572</v>
      </c>
      <c r="M30" s="9">
        <f>K30-(I30/E30)+1</f>
        <v>0.8380641154642161</v>
      </c>
      <c r="N30" s="9"/>
      <c r="O30" t="s" s="3">
        <v>150</v>
      </c>
      <c r="P30" s="66"/>
    </row>
    <row r="31" ht="12" customHeight="1">
      <c r="B31" t="s" s="3">
        <v>175</v>
      </c>
      <c r="C31" s="6">
        <v>38881</v>
      </c>
      <c r="D31" s="3">
        <v>14.25</v>
      </c>
      <c r="E31" s="3">
        <v>1223.69</v>
      </c>
      <c r="F31" s="4"/>
      <c r="G31" s="6">
        <v>39064</v>
      </c>
      <c r="H31" s="7">
        <v>18.04</v>
      </c>
      <c r="I31" s="9">
        <v>1413.21</v>
      </c>
      <c r="J31" s="7"/>
      <c r="K31" s="9">
        <f>(H31+J31)/D31</f>
        <v>1.265964912280702</v>
      </c>
      <c r="L31" s="9">
        <f>I31/E31</f>
        <v>1.15487582639394</v>
      </c>
      <c r="M31" s="9">
        <f>K31-(I31/E31)+1</f>
        <v>1.111089085886762</v>
      </c>
      <c r="N31" s="9"/>
      <c r="O31" t="s" s="3">
        <v>154</v>
      </c>
      <c r="P31" s="66"/>
    </row>
    <row r="32" ht="12" customHeight="1">
      <c r="B32" t="s" s="3">
        <v>176</v>
      </c>
      <c r="C32" s="6">
        <v>38910</v>
      </c>
      <c r="D32" s="3">
        <v>11.67</v>
      </c>
      <c r="E32" s="3">
        <v>1236.4</v>
      </c>
      <c r="F32" s="4"/>
      <c r="G32" s="6">
        <v>39063</v>
      </c>
      <c r="H32" s="7">
        <v>14.15</v>
      </c>
      <c r="I32" s="9">
        <v>1430.73</v>
      </c>
      <c r="J32" s="7">
        <v>0.204</v>
      </c>
      <c r="K32" s="9">
        <f>(H32+J32)/D32</f>
        <v>1.229991431019709</v>
      </c>
      <c r="L32" s="9">
        <f>I32/E32</f>
        <v>1.157174053704303</v>
      </c>
      <c r="M32" s="9">
        <f>K32-(I32/E32)+1</f>
        <v>1.072817377315406</v>
      </c>
      <c r="N32" s="9"/>
      <c r="O32" t="s" s="3">
        <v>150</v>
      </c>
      <c r="P32" s="66"/>
    </row>
    <row r="33" ht="12" customHeight="1">
      <c r="B33" t="s" s="3">
        <v>36</v>
      </c>
      <c r="C33" s="6">
        <v>38918</v>
      </c>
      <c r="D33" s="3">
        <v>32.77</v>
      </c>
      <c r="E33" s="3">
        <v>1249.13</v>
      </c>
      <c r="F33" s="4"/>
      <c r="G33" s="6">
        <v>39104</v>
      </c>
      <c r="H33" s="7">
        <v>30.87</v>
      </c>
      <c r="I33" s="9">
        <v>1422.95</v>
      </c>
      <c r="J33" s="7"/>
      <c r="K33" s="9">
        <f>(H33+J33)/D33</f>
        <v>0.9420201403722916</v>
      </c>
      <c r="L33" s="9">
        <f>I33/E33</f>
        <v>1.139152850383867</v>
      </c>
      <c r="M33" s="9">
        <f>K33-(I33/E33)+1</f>
        <v>0.8028672899884246</v>
      </c>
      <c r="N33" s="9"/>
      <c r="O33" t="s" s="3">
        <v>150</v>
      </c>
      <c r="P33" s="66"/>
    </row>
    <row r="34" ht="12" customHeight="1">
      <c r="B34" t="s" s="3">
        <v>177</v>
      </c>
      <c r="C34" s="6">
        <v>39283</v>
      </c>
      <c r="D34" s="3">
        <v>25.01</v>
      </c>
      <c r="E34" s="3">
        <v>1249.13</v>
      </c>
      <c r="F34" s="4"/>
      <c r="G34" s="6">
        <v>39104</v>
      </c>
      <c r="H34" s="7">
        <v>29.93</v>
      </c>
      <c r="I34" s="9">
        <v>1422.95</v>
      </c>
      <c r="J34" s="7"/>
      <c r="K34" s="9">
        <f>(H34+J34)/D34</f>
        <v>1.19672131147541</v>
      </c>
      <c r="L34" s="9">
        <f>I34/E34</f>
        <v>1.139152850383867</v>
      </c>
      <c r="M34" s="9">
        <f>K34-(I34/E34)+1</f>
        <v>1.057568461091543</v>
      </c>
      <c r="N34" s="9"/>
      <c r="O34" t="s" s="3">
        <v>150</v>
      </c>
      <c r="P34" s="66"/>
    </row>
    <row r="35" ht="12" customHeight="1">
      <c r="B35" t="s" s="3">
        <v>178</v>
      </c>
      <c r="C35" s="6">
        <v>38932</v>
      </c>
      <c r="D35" s="3">
        <v>20.5</v>
      </c>
      <c r="E35" s="3">
        <v>1280.27</v>
      </c>
      <c r="F35" s="4"/>
      <c r="G35" s="6">
        <v>39118</v>
      </c>
      <c r="H35" s="7">
        <v>29.02</v>
      </c>
      <c r="I35" s="9">
        <v>1446.99</v>
      </c>
      <c r="J35" s="7">
        <v>0.02</v>
      </c>
      <c r="K35" s="9">
        <f>(H35+J35)/D35</f>
        <v>1.416585365853658</v>
      </c>
      <c r="L35" s="9">
        <f>I35/E35</f>
        <v>1.130222531184828</v>
      </c>
      <c r="M35" s="9">
        <f>K35-(I35/E35)+1</f>
        <v>1.28636283466883</v>
      </c>
      <c r="N35" s="9"/>
      <c r="O35" t="s" s="3">
        <v>154</v>
      </c>
      <c r="P35" s="66"/>
    </row>
    <row r="36" ht="12" customHeight="1">
      <c r="B36" t="s" s="3">
        <v>41</v>
      </c>
      <c r="C36" s="6">
        <v>38939</v>
      </c>
      <c r="D36" s="3">
        <v>13.87</v>
      </c>
      <c r="E36" s="3">
        <v>1271.81</v>
      </c>
      <c r="F36" s="4"/>
      <c r="G36" s="6">
        <v>39125</v>
      </c>
      <c r="H36" s="7">
        <v>14.53</v>
      </c>
      <c r="I36" s="9">
        <v>1433.37</v>
      </c>
      <c r="J36" s="7"/>
      <c r="K36" s="9">
        <f>(H36+J36)/D36</f>
        <v>1.047584715212689</v>
      </c>
      <c r="L36" s="9">
        <f>I36/E36</f>
        <v>1.127031553455312</v>
      </c>
      <c r="M36" s="9">
        <f>K36-(I36/E36)+1</f>
        <v>0.9205531617573777</v>
      </c>
      <c r="N36" s="9"/>
      <c r="O36" t="s" s="3">
        <v>154</v>
      </c>
      <c r="P36" s="66"/>
    </row>
    <row r="37" ht="12" customHeight="1">
      <c r="B37" t="s" s="3">
        <v>179</v>
      </c>
      <c r="C37" s="6">
        <v>38945</v>
      </c>
      <c r="D37" s="3">
        <v>18</v>
      </c>
      <c r="E37" s="3">
        <v>1295.43</v>
      </c>
      <c r="F37" s="4"/>
      <c r="G37" s="6">
        <v>39129</v>
      </c>
      <c r="H37" s="7">
        <v>26.78</v>
      </c>
      <c r="I37" s="9">
        <v>1455.54</v>
      </c>
      <c r="J37" s="7"/>
      <c r="K37" s="9">
        <f>(H37+J37)/D37</f>
        <v>1.487777777777778</v>
      </c>
      <c r="L37" s="9">
        <f>I37/E37</f>
        <v>1.123596026029967</v>
      </c>
      <c r="M37" s="9">
        <f>K37-(I37/E37)+1</f>
        <v>1.364181751747811</v>
      </c>
      <c r="N37" s="9"/>
      <c r="O37" t="s" s="3">
        <v>150</v>
      </c>
      <c r="P37" s="66"/>
    </row>
    <row r="38" ht="12" customHeight="1">
      <c r="B38" t="s" s="3">
        <v>180</v>
      </c>
      <c r="C38" s="6">
        <v>38954</v>
      </c>
      <c r="D38" s="3">
        <v>1.1</v>
      </c>
      <c r="E38" s="3">
        <v>1295.09</v>
      </c>
      <c r="F38" s="4"/>
      <c r="G38" s="6">
        <v>39139</v>
      </c>
      <c r="H38" s="7">
        <v>0.65</v>
      </c>
      <c r="I38" s="9">
        <v>1449.37</v>
      </c>
      <c r="J38" s="7"/>
      <c r="K38" s="9">
        <f>(H38+J38)/D38</f>
        <v>0.5909090909090908</v>
      </c>
      <c r="L38" s="9">
        <f>I38/E38</f>
        <v>1.119126856048614</v>
      </c>
      <c r="M38" s="9">
        <f>K38-(I38/E38)+1</f>
        <v>0.4717822348604765</v>
      </c>
      <c r="N38" s="9"/>
      <c r="O38" t="s" s="3">
        <v>150</v>
      </c>
      <c r="P38" s="66"/>
    </row>
    <row r="39" ht="12" customHeight="1">
      <c r="B39" t="s" s="3">
        <v>181</v>
      </c>
      <c r="C39" s="6">
        <v>38975</v>
      </c>
      <c r="D39" s="3">
        <v>25.66</v>
      </c>
      <c r="E39" s="3">
        <v>1319.87</v>
      </c>
      <c r="F39" s="4"/>
      <c r="G39" s="6">
        <v>39156</v>
      </c>
      <c r="H39" s="7">
        <v>29.9</v>
      </c>
      <c r="I39" s="9">
        <v>1392.28</v>
      </c>
      <c r="J39" s="7">
        <v>0.14</v>
      </c>
      <c r="K39" s="9">
        <f>(H39+J39)/D39</f>
        <v>1.170693686671863</v>
      </c>
      <c r="L39" s="9">
        <f>I39/E39</f>
        <v>1.054861463628994</v>
      </c>
      <c r="M39" s="9">
        <f>K39-(I39/E39)+1</f>
        <v>1.115832223042869</v>
      </c>
      <c r="N39" s="9"/>
      <c r="O39" t="s" s="3">
        <v>150</v>
      </c>
      <c r="P39" s="66"/>
    </row>
    <row r="40" ht="12" customHeight="1">
      <c r="B40" t="s" s="3">
        <v>38</v>
      </c>
      <c r="C40" s="6">
        <v>38981</v>
      </c>
      <c r="D40" s="3">
        <v>17.72</v>
      </c>
      <c r="E40" s="3">
        <v>1318.03</v>
      </c>
      <c r="F40" s="4"/>
      <c r="G40" s="6">
        <v>39162</v>
      </c>
      <c r="H40" s="7">
        <v>21.85</v>
      </c>
      <c r="I40" s="9">
        <v>1435.04</v>
      </c>
      <c r="J40" s="7">
        <v>0.01</v>
      </c>
      <c r="K40" s="9">
        <f>(H40+J40)/D40</f>
        <v>1.233634311512416</v>
      </c>
      <c r="L40" s="9">
        <f>I40/E40</f>
        <v>1.088776431492455</v>
      </c>
      <c r="M40" s="9">
        <f>K40-(I40/E40)+1</f>
        <v>1.144857880019961</v>
      </c>
      <c r="N40" s="9"/>
      <c r="O40" t="s" s="3">
        <v>150</v>
      </c>
      <c r="P40" s="66"/>
    </row>
    <row r="41" ht="12" customHeight="1">
      <c r="B41" t="s" s="3">
        <v>165</v>
      </c>
      <c r="C41" s="6">
        <v>38995</v>
      </c>
      <c r="D41" s="3">
        <v>50.12</v>
      </c>
      <c r="E41" s="3">
        <v>1353.22</v>
      </c>
      <c r="F41" s="4"/>
      <c r="G41" s="6">
        <v>39177</v>
      </c>
      <c r="H41" s="7">
        <v>64.91</v>
      </c>
      <c r="I41" s="9">
        <v>1443.76</v>
      </c>
      <c r="J41" s="7"/>
      <c r="K41" s="9">
        <f>(H41+J41)/D41</f>
        <v>1.295091779728651</v>
      </c>
      <c r="L41" s="9">
        <f>I41/E41</f>
        <v>1.066907080888547</v>
      </c>
      <c r="M41" s="9">
        <f>K41-(I41/E41)+1</f>
        <v>1.228184698840104</v>
      </c>
      <c r="N41" s="9"/>
      <c r="O41" t="s" s="3">
        <v>182</v>
      </c>
      <c r="P41" s="66"/>
    </row>
    <row r="42" ht="12" customHeight="1">
      <c r="B42" t="s" s="3">
        <v>175</v>
      </c>
      <c r="C42" s="6">
        <v>39006</v>
      </c>
      <c r="D42" s="3">
        <v>17.86</v>
      </c>
      <c r="E42" s="3">
        <v>1369.05</v>
      </c>
      <c r="F42" s="4"/>
      <c r="G42" s="6">
        <v>39188</v>
      </c>
      <c r="H42" s="7">
        <v>26.12</v>
      </c>
      <c r="I42" s="9">
        <v>1468.47</v>
      </c>
      <c r="J42" s="7"/>
      <c r="K42" s="9">
        <f>(H42+J42)/D42</f>
        <v>1.462486002239642</v>
      </c>
      <c r="L42" s="9">
        <f>I42/E42</f>
        <v>1.072619699791826</v>
      </c>
      <c r="M42" s="9">
        <f>K42-(I42/E42)+1</f>
        <v>1.389866302447815</v>
      </c>
      <c r="N42" s="9"/>
      <c r="O42" t="s" s="3">
        <v>150</v>
      </c>
      <c r="P42" s="66"/>
    </row>
    <row r="43" ht="12" customHeight="1">
      <c r="B43" t="s" s="3">
        <v>58</v>
      </c>
      <c r="C43" s="6">
        <v>39007</v>
      </c>
      <c r="D43" s="3">
        <v>39.23</v>
      </c>
      <c r="E43" s="3">
        <v>1364.05</v>
      </c>
      <c r="F43" s="4"/>
      <c r="G43" s="6">
        <v>39189</v>
      </c>
      <c r="H43" s="7">
        <v>48.51</v>
      </c>
      <c r="I43" s="9">
        <v>1471.48</v>
      </c>
      <c r="J43" s="7">
        <v>0.1</v>
      </c>
      <c r="K43" s="9">
        <f>(H43+J43)/D43</f>
        <v>1.239102727504461</v>
      </c>
      <c r="L43" s="9">
        <f>I43/E43</f>
        <v>1.078758110039955</v>
      </c>
      <c r="M43" s="9">
        <f>K43-(I43/E43)+1</f>
        <v>1.160344617464506</v>
      </c>
      <c r="N43" s="9"/>
      <c r="O43" t="s" s="3">
        <v>150</v>
      </c>
      <c r="P43" s="66"/>
    </row>
    <row r="44" ht="12" customHeight="1">
      <c r="B44" t="s" s="3">
        <v>183</v>
      </c>
      <c r="C44" s="6">
        <v>39022</v>
      </c>
      <c r="D44" s="3">
        <v>8.75</v>
      </c>
      <c r="E44" s="3">
        <v>1367.81</v>
      </c>
      <c r="F44" s="4"/>
      <c r="G44" s="6">
        <v>39203</v>
      </c>
      <c r="H44" s="7">
        <v>11.98</v>
      </c>
      <c r="I44" s="9">
        <v>1486.3</v>
      </c>
      <c r="J44" s="7"/>
      <c r="K44" s="9">
        <f>(H44+J44)/D44</f>
        <v>1.369142857142857</v>
      </c>
      <c r="L44" s="9">
        <f>I44/E44</f>
        <v>1.086627528677229</v>
      </c>
      <c r="M44" s="9">
        <f>K44-(I44/E44)+1</f>
        <v>1.282515328465629</v>
      </c>
      <c r="N44" s="9"/>
      <c r="O44" t="s" s="3">
        <v>150</v>
      </c>
      <c r="P44" s="66"/>
    </row>
    <row r="45" ht="12" customHeight="1">
      <c r="B45" t="s" s="3">
        <v>39</v>
      </c>
      <c r="C45" s="6">
        <v>39028</v>
      </c>
      <c r="D45" s="3">
        <v>25.8</v>
      </c>
      <c r="E45" s="3">
        <v>1382.84</v>
      </c>
      <c r="F45" s="6"/>
      <c r="G45" s="6">
        <v>39209</v>
      </c>
      <c r="H45" s="7">
        <v>36.68</v>
      </c>
      <c r="I45" s="9">
        <v>1509.48</v>
      </c>
      <c r="J45" s="7">
        <v>0.34</v>
      </c>
      <c r="K45" s="9">
        <f>(H45+J45)/D45</f>
        <v>1.434883720930233</v>
      </c>
      <c r="L45" s="9">
        <f>I45/E45</f>
        <v>1.091579647681583</v>
      </c>
      <c r="M45" s="9">
        <f>K45-(I45/E45)+1</f>
        <v>1.34330407324865</v>
      </c>
      <c r="N45" s="9"/>
      <c r="O45" t="s" s="3">
        <v>150</v>
      </c>
      <c r="P45" s="66"/>
    </row>
    <row r="46" ht="12" customHeight="1">
      <c r="B46" t="s" s="3">
        <v>184</v>
      </c>
      <c r="C46" s="6">
        <v>39036</v>
      </c>
      <c r="D46" s="3">
        <v>21.51</v>
      </c>
      <c r="E46" s="3">
        <v>1396.57</v>
      </c>
      <c r="F46" s="6"/>
      <c r="G46" s="6">
        <v>39217</v>
      </c>
      <c r="H46" s="7">
        <v>40.78</v>
      </c>
      <c r="I46" s="9">
        <v>1501.19</v>
      </c>
      <c r="J46" s="7"/>
      <c r="K46" s="9">
        <f>(H46+J46)/D46</f>
        <v>1.895862389586239</v>
      </c>
      <c r="L46" s="9">
        <f>I46/E46</f>
        <v>1.074912106088488</v>
      </c>
      <c r="M46" s="9">
        <f>K46-(I46/E46)+1</f>
        <v>1.820950283497751</v>
      </c>
      <c r="N46" s="9"/>
      <c r="O46" t="s" s="3">
        <v>154</v>
      </c>
      <c r="P46" s="66"/>
    </row>
    <row r="47" ht="12" customHeight="1">
      <c r="B47" t="s" s="3">
        <v>185</v>
      </c>
      <c r="C47" s="6">
        <v>39037</v>
      </c>
      <c r="D47" s="3">
        <v>20.75</v>
      </c>
      <c r="E47" s="3">
        <v>1399.76</v>
      </c>
      <c r="F47" s="4"/>
      <c r="G47" s="6">
        <v>39218</v>
      </c>
      <c r="H47" s="7">
        <v>25.21</v>
      </c>
      <c r="I47" s="9">
        <v>1514.14</v>
      </c>
      <c r="J47" s="7"/>
      <c r="K47" s="9">
        <f>(H47+J47)/D47</f>
        <v>1.214939759036145</v>
      </c>
      <c r="L47" s="9">
        <f>I47/E47</f>
        <v>1.081714008115677</v>
      </c>
      <c r="M47" s="9">
        <f>K47-(I47/E47)+1</f>
        <v>1.133225750920468</v>
      </c>
      <c r="N47" s="9"/>
      <c r="O47" t="s" s="3">
        <v>154</v>
      </c>
      <c r="P47" s="66"/>
    </row>
    <row r="48" ht="12" customHeight="1">
      <c r="B48" t="s" s="3">
        <v>186</v>
      </c>
      <c r="C48" s="6">
        <v>39038</v>
      </c>
      <c r="D48" s="3">
        <v>7.86</v>
      </c>
      <c r="E48" s="3">
        <v>1401.2</v>
      </c>
      <c r="F48" s="4"/>
      <c r="G48" s="6">
        <v>39219</v>
      </c>
      <c r="H48" s="7">
        <v>8.970000000000001</v>
      </c>
      <c r="I48" s="9">
        <v>1512.75</v>
      </c>
      <c r="J48" s="7"/>
      <c r="K48" s="9">
        <f>(H48+J48)/D48</f>
        <v>1.141221374045801</v>
      </c>
      <c r="L48" s="9">
        <f>I48/E48</f>
        <v>1.079610333999429</v>
      </c>
      <c r="M48" s="9">
        <f>K48-(I48/E48)+1</f>
        <v>1.061611040046373</v>
      </c>
      <c r="N48" s="9"/>
      <c r="O48" t="s" s="3">
        <v>150</v>
      </c>
      <c r="P48" s="66"/>
    </row>
    <row r="49" ht="12" customHeight="1">
      <c r="B49" t="s" s="3">
        <v>174</v>
      </c>
      <c r="C49" s="6">
        <v>39057</v>
      </c>
      <c r="D49" s="3">
        <v>16.3</v>
      </c>
      <c r="E49" s="3">
        <v>1412.9</v>
      </c>
      <c r="F49" s="4"/>
      <c r="G49" s="6">
        <v>39239</v>
      </c>
      <c r="H49" s="7">
        <v>15.97</v>
      </c>
      <c r="I49" s="9">
        <v>1517.38</v>
      </c>
      <c r="J49" s="7">
        <v>0.04</v>
      </c>
      <c r="K49" s="9">
        <f>(H49+J49)/D49</f>
        <v>0.9822085889570553</v>
      </c>
      <c r="L49" s="9">
        <f>I49/E49</f>
        <v>1.073947200792696</v>
      </c>
      <c r="M49" s="9">
        <f>K49-(I49/E49)+1</f>
        <v>0.9082613881643595</v>
      </c>
      <c r="N49" s="9"/>
      <c r="O49" t="s" s="3">
        <v>150</v>
      </c>
      <c r="P49" s="66"/>
    </row>
    <row r="50" ht="12" customHeight="1">
      <c r="B50" t="s" s="3">
        <v>187</v>
      </c>
      <c r="C50" s="6">
        <v>39073</v>
      </c>
      <c r="D50" s="3">
        <v>7.35</v>
      </c>
      <c r="E50" s="3">
        <v>1410.76</v>
      </c>
      <c r="F50" s="4"/>
      <c r="G50" s="6">
        <v>39255</v>
      </c>
      <c r="H50" s="7">
        <v>4.63</v>
      </c>
      <c r="I50" s="9">
        <v>1502.56</v>
      </c>
      <c r="J50" s="7"/>
      <c r="K50" s="9">
        <f>(H50+J50)/D50</f>
        <v>0.6299319727891156</v>
      </c>
      <c r="L50" s="9">
        <f>I50/E50</f>
        <v>1.06507130908163</v>
      </c>
      <c r="M50" s="9">
        <f>K50-(I50/E50)+1</f>
        <v>0.5648606637074859</v>
      </c>
      <c r="N50" s="9"/>
      <c r="O50" t="s" s="3">
        <v>154</v>
      </c>
      <c r="P50" s="66"/>
    </row>
    <row r="51" ht="12" customHeight="1">
      <c r="B51" t="s" s="3">
        <v>188</v>
      </c>
      <c r="C51" s="6">
        <v>39085</v>
      </c>
      <c r="D51" s="3">
        <v>28.62</v>
      </c>
      <c r="E51" s="3">
        <v>1416.6</v>
      </c>
      <c r="F51" s="4"/>
      <c r="G51" s="6">
        <v>39266</v>
      </c>
      <c r="H51" s="7">
        <v>26.44</v>
      </c>
      <c r="I51" s="9">
        <v>1524.87</v>
      </c>
      <c r="J51" s="7">
        <v>0.44</v>
      </c>
      <c r="K51" s="9">
        <f>(H51+J51)/D51</f>
        <v>0.939203354297694</v>
      </c>
      <c r="L51" s="9">
        <f>I51/E51</f>
        <v>1.076429479034307</v>
      </c>
      <c r="M51" s="9">
        <f>K51-(I51/E51)+1</f>
        <v>0.8627738752633866</v>
      </c>
      <c r="N51" s="9"/>
      <c r="O51" t="s" s="3">
        <v>150</v>
      </c>
      <c r="P51" s="66"/>
    </row>
    <row r="52" ht="12" customHeight="1">
      <c r="B52" t="s" s="3">
        <v>189</v>
      </c>
      <c r="C52" s="6">
        <v>39111</v>
      </c>
      <c r="D52" s="3">
        <v>20</v>
      </c>
      <c r="E52" s="3">
        <v>1420.62</v>
      </c>
      <c r="F52" s="4"/>
      <c r="G52" s="6">
        <v>39293</v>
      </c>
      <c r="H52" s="7">
        <v>16.58</v>
      </c>
      <c r="I52" s="3">
        <v>1473.91</v>
      </c>
      <c r="J52" s="7"/>
      <c r="K52" s="9">
        <f>(H52+J52)/D52</f>
        <v>0.829</v>
      </c>
      <c r="L52" s="9">
        <f>I52/E52</f>
        <v>1.037511790626628</v>
      </c>
      <c r="M52" s="9">
        <f>K52-(I52/E52)+1</f>
        <v>0.7914882093733719</v>
      </c>
      <c r="N52" s="9"/>
      <c r="O52" t="s" s="3">
        <v>152</v>
      </c>
      <c r="P52" s="66"/>
    </row>
    <row r="53" ht="12" customHeight="1">
      <c r="B53" t="s" s="3">
        <v>190</v>
      </c>
      <c r="C53" s="6">
        <v>39111</v>
      </c>
      <c r="D53" s="3">
        <v>35.24</v>
      </c>
      <c r="E53" s="3">
        <v>1420.62</v>
      </c>
      <c r="F53" s="4"/>
      <c r="G53" s="6">
        <v>39293</v>
      </c>
      <c r="H53" s="7">
        <v>35.8</v>
      </c>
      <c r="I53" s="3">
        <v>1473.91</v>
      </c>
      <c r="J53" s="7"/>
      <c r="K53" s="9">
        <f>(H53+J53)/D53</f>
        <v>1.01589103291714</v>
      </c>
      <c r="L53" s="9">
        <f>I53/E53</f>
        <v>1.037511790626628</v>
      </c>
      <c r="M53" s="9">
        <f>K53-(I53/E53)+1</f>
        <v>0.9783792422905115</v>
      </c>
      <c r="N53" s="9"/>
      <c r="O53" t="s" s="3">
        <v>150</v>
      </c>
      <c r="P53" s="66"/>
    </row>
    <row r="54" ht="12" customHeight="1">
      <c r="B54" t="s" s="3">
        <v>191</v>
      </c>
      <c r="C54" s="6">
        <v>39122</v>
      </c>
      <c r="D54" s="3">
        <v>6.5</v>
      </c>
      <c r="E54" s="3">
        <v>1438.06</v>
      </c>
      <c r="F54" s="4"/>
      <c r="G54" s="6">
        <v>39303</v>
      </c>
      <c r="H54" s="7">
        <v>5.96</v>
      </c>
      <c r="I54" s="3">
        <v>1453.09</v>
      </c>
      <c r="J54" s="7"/>
      <c r="K54" s="9">
        <f>(H54+J54)/D54</f>
        <v>0.916923076923077</v>
      </c>
      <c r="L54" s="9">
        <f>I54/E54</f>
        <v>1.010451580601644</v>
      </c>
      <c r="M54" s="9">
        <f>K54-(I54/E54)+1</f>
        <v>0.9064714963214331</v>
      </c>
      <c r="N54" s="9"/>
      <c r="O54" t="s" s="3">
        <v>154</v>
      </c>
      <c r="P54" s="66"/>
    </row>
    <row r="55" ht="12" customHeight="1">
      <c r="B55" t="s" s="3">
        <v>192</v>
      </c>
      <c r="C55" s="6">
        <v>39126</v>
      </c>
      <c r="D55" s="3">
        <v>40.65</v>
      </c>
      <c r="E55" s="3">
        <v>1444.26</v>
      </c>
      <c r="F55" s="4"/>
      <c r="G55" s="6">
        <v>39307</v>
      </c>
      <c r="H55" s="7">
        <v>35.35</v>
      </c>
      <c r="I55" s="67">
        <v>1452.92</v>
      </c>
      <c r="J55" s="68"/>
      <c r="K55" s="69">
        <f>(H55+J55)/D55</f>
        <v>0.869618696186962</v>
      </c>
      <c r="L55" s="69">
        <f>I55/E55</f>
        <v>1.005996150277651</v>
      </c>
      <c r="M55" s="69">
        <f>K55-(I55/E55)+1</f>
        <v>0.8636225459093111</v>
      </c>
      <c r="N55" s="69"/>
      <c r="O55" t="s" s="67">
        <v>150</v>
      </c>
      <c r="P55" s="70"/>
    </row>
    <row r="56" ht="12" customHeight="1">
      <c r="B56" t="s" s="3">
        <v>44</v>
      </c>
      <c r="C56" s="6">
        <v>39148</v>
      </c>
      <c r="D56" s="3">
        <v>7.75</v>
      </c>
      <c r="E56" s="3">
        <v>1391.97</v>
      </c>
      <c r="F56" s="4"/>
      <c r="G56" s="6">
        <v>39332</v>
      </c>
      <c r="H56" s="71">
        <v>8.220000000000001</v>
      </c>
      <c r="I56" s="72">
        <v>1453.55</v>
      </c>
      <c r="J56" s="73"/>
      <c r="K56" s="74">
        <f>(H56+J56)/D56</f>
        <v>1.060645161290323</v>
      </c>
      <c r="L56" s="74">
        <f>I56/E56</f>
        <v>1.044239459183747</v>
      </c>
      <c r="M56" s="74">
        <f>K56-(I56/E56)+1</f>
        <v>1.016405702106576</v>
      </c>
      <c r="N56" s="74"/>
      <c r="O56" t="s" s="72">
        <v>152</v>
      </c>
      <c r="P56" s="75"/>
    </row>
    <row r="57" ht="12" customHeight="1">
      <c r="B57" t="s" s="3">
        <v>193</v>
      </c>
      <c r="C57" s="6">
        <v>39150</v>
      </c>
      <c r="D57" s="3">
        <v>11.35</v>
      </c>
      <c r="E57" s="3">
        <v>1402.85</v>
      </c>
      <c r="F57" s="4"/>
      <c r="G57" s="6">
        <v>39335</v>
      </c>
      <c r="H57" s="71">
        <v>5.5</v>
      </c>
      <c r="I57" s="72">
        <v>1451.7</v>
      </c>
      <c r="J57" s="73"/>
      <c r="K57" s="74">
        <f>(H57+J57)/D57</f>
        <v>0.4845814977973568</v>
      </c>
      <c r="L57" s="74">
        <f>I57/E57</f>
        <v>1.034821969561963</v>
      </c>
      <c r="M57" s="74">
        <f>K57-(I57/E57)+1</f>
        <v>0.4497595282353937</v>
      </c>
      <c r="N57" s="74"/>
      <c r="O57" t="s" s="72">
        <v>154</v>
      </c>
      <c r="P57" s="75"/>
    </row>
    <row r="58" ht="12" customHeight="1">
      <c r="B58" t="s" s="3">
        <v>194</v>
      </c>
      <c r="C58" s="6">
        <v>39157</v>
      </c>
      <c r="D58" s="3">
        <v>30.42</v>
      </c>
      <c r="E58" s="3">
        <v>1386.95</v>
      </c>
      <c r="F58" s="4"/>
      <c r="G58" s="6">
        <v>39342</v>
      </c>
      <c r="H58" s="71">
        <v>33.89</v>
      </c>
      <c r="I58" s="72">
        <v>1476.65</v>
      </c>
      <c r="J58" s="73">
        <v>0.52</v>
      </c>
      <c r="K58" s="74">
        <f>(H58+J58)/D58</f>
        <v>1.131163708086785</v>
      </c>
      <c r="L58" s="74">
        <f>I58/E58</f>
        <v>1.064674285302282</v>
      </c>
      <c r="M58" s="74">
        <f>K58-(I58/E58)+1</f>
        <v>1.066489422784503</v>
      </c>
      <c r="N58" s="74"/>
      <c r="O58" t="s" s="72">
        <v>150</v>
      </c>
      <c r="P58" s="75"/>
    </row>
    <row r="59" ht="12" customHeight="1">
      <c r="B59" t="s" s="3">
        <v>185</v>
      </c>
      <c r="C59" s="6">
        <v>39170</v>
      </c>
      <c r="D59" s="3">
        <v>20.72</v>
      </c>
      <c r="E59" s="3">
        <v>1422.53</v>
      </c>
      <c r="F59" s="4"/>
      <c r="G59" s="6">
        <v>39356</v>
      </c>
      <c r="H59" s="71">
        <v>39.13</v>
      </c>
      <c r="I59" s="72">
        <v>1547.04</v>
      </c>
      <c r="J59" s="73"/>
      <c r="K59" s="74">
        <f>(H59+J59)/D59</f>
        <v>1.888513513513514</v>
      </c>
      <c r="L59" s="74">
        <f>I59/E59</f>
        <v>1.087527152327192</v>
      </c>
      <c r="M59" s="74">
        <f>K59-(I59/E59)+1</f>
        <v>1.800986361186322</v>
      </c>
      <c r="N59" s="74"/>
      <c r="O59" t="s" s="72">
        <v>182</v>
      </c>
      <c r="P59" s="75"/>
    </row>
    <row r="60" ht="12" customHeight="1">
      <c r="B60" t="s" s="3">
        <v>74</v>
      </c>
      <c r="C60" s="6">
        <v>39171</v>
      </c>
      <c r="D60" s="3">
        <v>19.7</v>
      </c>
      <c r="E60" s="3">
        <v>1420.86</v>
      </c>
      <c r="F60" s="4"/>
      <c r="G60" s="6">
        <v>39356</v>
      </c>
      <c r="H60" s="71">
        <v>19</v>
      </c>
      <c r="I60" s="72">
        <v>1547.04</v>
      </c>
      <c r="J60" s="73">
        <v>0.12</v>
      </c>
      <c r="K60" s="74">
        <f>(H60+J60)/D60</f>
        <v>0.9705583756345179</v>
      </c>
      <c r="L60" s="74">
        <f>I60/E60</f>
        <v>1.088805371394789</v>
      </c>
      <c r="M60" s="74">
        <f>K60-(I60/E60)+1</f>
        <v>0.8817530042397287</v>
      </c>
      <c r="N60" s="74"/>
      <c r="O60" t="s" s="72">
        <v>150</v>
      </c>
      <c r="P60" s="75"/>
    </row>
    <row r="61" ht="12" customHeight="1">
      <c r="B61" t="s" s="3">
        <v>195</v>
      </c>
      <c r="C61" s="6">
        <v>39239</v>
      </c>
      <c r="D61" s="3">
        <v>8.5</v>
      </c>
      <c r="E61" s="3">
        <v>1517.38</v>
      </c>
      <c r="F61" s="4"/>
      <c r="G61" s="6">
        <v>39422</v>
      </c>
      <c r="H61" s="71">
        <v>1.98</v>
      </c>
      <c r="I61" s="72">
        <v>1507.34</v>
      </c>
      <c r="J61" s="73">
        <v>2.46</v>
      </c>
      <c r="K61" s="74">
        <f>(H61+J61)/D61</f>
        <v>0.5223529411764706</v>
      </c>
      <c r="L61" s="74">
        <f>I61/E61</f>
        <v>0.9933833317955949</v>
      </c>
      <c r="M61" s="74">
        <f>K61-(I61/E61)+1</f>
        <v>0.5289696093808757</v>
      </c>
      <c r="N61" s="74"/>
      <c r="O61" t="s" s="72">
        <v>150</v>
      </c>
      <c r="P61" s="75"/>
    </row>
    <row r="62" ht="12" customHeight="1">
      <c r="B62" t="s" s="3">
        <v>196</v>
      </c>
      <c r="C62" s="6">
        <v>39241</v>
      </c>
      <c r="D62" s="3">
        <v>18</v>
      </c>
      <c r="E62" s="3">
        <v>1507.67</v>
      </c>
      <c r="F62" s="4"/>
      <c r="G62" s="6">
        <v>39424</v>
      </c>
      <c r="H62" s="71">
        <v>9.800000000000001</v>
      </c>
      <c r="I62" s="72">
        <v>1515.96</v>
      </c>
      <c r="J62" s="73"/>
      <c r="K62" s="74">
        <f>(H62+J62)/D62</f>
        <v>0.5444444444444445</v>
      </c>
      <c r="L62" s="74">
        <f>I62/E62</f>
        <v>1.005498550743863</v>
      </c>
      <c r="M62" s="74">
        <f>K62-(I62/E62)+1</f>
        <v>0.5389458937005815</v>
      </c>
      <c r="N62" s="74"/>
      <c r="O62" t="s" s="72">
        <v>150</v>
      </c>
      <c r="P62" s="75"/>
    </row>
    <row r="63" ht="12" customHeight="1">
      <c r="B63" t="s" s="3">
        <v>46</v>
      </c>
      <c r="C63" s="6">
        <v>39251</v>
      </c>
      <c r="D63" s="3">
        <v>29.93</v>
      </c>
      <c r="E63" s="3">
        <v>1531.05</v>
      </c>
      <c r="F63" s="4"/>
      <c r="G63" s="6">
        <v>39434</v>
      </c>
      <c r="H63" s="71">
        <v>15.89</v>
      </c>
      <c r="I63" s="72">
        <v>1454.98</v>
      </c>
      <c r="J63" s="73"/>
      <c r="K63" s="74">
        <f>(H63+J63)/D63</f>
        <v>0.5309054460407618</v>
      </c>
      <c r="L63" s="74">
        <f>I63/E63</f>
        <v>0.9503151432023775</v>
      </c>
      <c r="M63" s="74">
        <f>K63-(I63/E63)+1</f>
        <v>0.5805903028383843</v>
      </c>
      <c r="N63" s="74"/>
      <c r="O63" t="s" s="72">
        <v>150</v>
      </c>
      <c r="P63" s="75"/>
    </row>
    <row r="64" ht="12" customHeight="1">
      <c r="B64" t="s" s="3">
        <v>101</v>
      </c>
      <c r="C64" s="6">
        <v>39251</v>
      </c>
      <c r="D64" s="3">
        <v>46.25</v>
      </c>
      <c r="E64" s="3">
        <v>1531.05</v>
      </c>
      <c r="F64" s="4"/>
      <c r="G64" s="6">
        <v>39434</v>
      </c>
      <c r="H64" s="71">
        <v>43.48</v>
      </c>
      <c r="I64" s="72">
        <v>1454.98</v>
      </c>
      <c r="J64" s="73"/>
      <c r="K64" s="74">
        <f>(H64+J64)/D64</f>
        <v>0.9401081081081081</v>
      </c>
      <c r="L64" s="74">
        <f>I64/E64</f>
        <v>0.9503151432023775</v>
      </c>
      <c r="M64" s="74">
        <f>K64-(I64/E64)+1</f>
        <v>0.9897929649057305</v>
      </c>
      <c r="N64" s="74"/>
      <c r="O64" t="s" s="72">
        <v>150</v>
      </c>
      <c r="P64" s="75"/>
    </row>
    <row r="65" ht="12" customHeight="1">
      <c r="B65" t="s" s="3">
        <v>47</v>
      </c>
      <c r="C65" s="6">
        <v>39251</v>
      </c>
      <c r="D65" s="3">
        <v>37.15</v>
      </c>
      <c r="E65" s="3">
        <v>1531.05</v>
      </c>
      <c r="F65" s="4"/>
      <c r="G65" s="6">
        <v>39434</v>
      </c>
      <c r="H65" s="71">
        <v>36.81</v>
      </c>
      <c r="I65" s="72">
        <v>1454.98</v>
      </c>
      <c r="J65" s="73"/>
      <c r="K65" s="74">
        <f>(H65+J65)/D65</f>
        <v>0.9908479138627188</v>
      </c>
      <c r="L65" s="74">
        <f>I65/E65</f>
        <v>0.9503151432023775</v>
      </c>
      <c r="M65" s="74">
        <f>K65-(I65/E65)+1</f>
        <v>1.040532770660341</v>
      </c>
      <c r="N65" s="74"/>
      <c r="O65" t="s" s="72">
        <v>150</v>
      </c>
      <c r="P65" s="75"/>
    </row>
    <row r="66" ht="12" customHeight="1">
      <c r="B66" t="s" s="3">
        <v>52</v>
      </c>
      <c r="C66" s="6">
        <v>39295</v>
      </c>
      <c r="D66" s="3">
        <v>49</v>
      </c>
      <c r="E66" s="3">
        <v>1465.81</v>
      </c>
      <c r="F66" s="4"/>
      <c r="G66" s="6">
        <v>39479</v>
      </c>
      <c r="H66" s="71">
        <v>43.19</v>
      </c>
      <c r="I66" s="72">
        <v>1395.42</v>
      </c>
      <c r="J66" s="73">
        <v>0.14</v>
      </c>
      <c r="K66" s="74">
        <f>(H66+J66)/D66</f>
        <v>0.8842857142857142</v>
      </c>
      <c r="L66" s="74">
        <f>I66/E66</f>
        <v>0.9519787694175917</v>
      </c>
      <c r="M66" s="74">
        <f>K66-(I66/E66)+1</f>
        <v>0.9323069448681225</v>
      </c>
      <c r="N66" s="74"/>
      <c r="O66" t="s" s="72">
        <v>150</v>
      </c>
      <c r="P66" s="75"/>
    </row>
    <row r="67" ht="12" customHeight="1">
      <c r="B67" t="s" s="3">
        <v>197</v>
      </c>
      <c r="C67" s="6">
        <v>39289</v>
      </c>
      <c r="D67" s="3">
        <v>25.62</v>
      </c>
      <c r="E67" s="3">
        <v>1482.66</v>
      </c>
      <c r="F67" s="4"/>
      <c r="G67" s="6">
        <v>39475</v>
      </c>
      <c r="H67" s="71">
        <v>29.85</v>
      </c>
      <c r="I67" s="72">
        <v>1353.97</v>
      </c>
      <c r="J67" s="73"/>
      <c r="K67" s="74">
        <f>(H67+J67)/D67</f>
        <v>1.165105386416862</v>
      </c>
      <c r="L67" s="74">
        <f>I67/E67</f>
        <v>0.9132032967774135</v>
      </c>
      <c r="M67" s="74">
        <f>K67-(I67/E67)+1</f>
        <v>1.251902089639448</v>
      </c>
      <c r="N67" s="74"/>
      <c r="O67" t="s" s="72">
        <v>154</v>
      </c>
      <c r="P67" s="75"/>
    </row>
    <row r="68" ht="12" customHeight="1">
      <c r="B68" t="s" s="3">
        <v>198</v>
      </c>
      <c r="C68" s="6">
        <v>39295</v>
      </c>
      <c r="D68" s="3">
        <v>17.25</v>
      </c>
      <c r="E68" s="3">
        <v>1465.81</v>
      </c>
      <c r="F68" s="4"/>
      <c r="G68" s="6">
        <v>39479</v>
      </c>
      <c r="H68" s="71">
        <v>15.06</v>
      </c>
      <c r="I68" s="72">
        <v>1395.42</v>
      </c>
      <c r="J68" s="73"/>
      <c r="K68" s="74">
        <f>(H68+J68)/D68</f>
        <v>0.8730434782608696</v>
      </c>
      <c r="L68" s="74">
        <f>I68/E68</f>
        <v>0.9519787694175917</v>
      </c>
      <c r="M68" s="74">
        <f>K68-(I68/E68)+1</f>
        <v>0.9210647088432778</v>
      </c>
      <c r="N68" s="74"/>
      <c r="O68" t="s" s="72">
        <v>150</v>
      </c>
      <c r="P68" s="75"/>
    </row>
    <row r="69" ht="12" customHeight="1">
      <c r="B69" t="s" s="3">
        <v>199</v>
      </c>
      <c r="C69" s="6">
        <v>39309</v>
      </c>
      <c r="D69" s="3">
        <v>57.71</v>
      </c>
      <c r="E69" s="3">
        <v>1406.7</v>
      </c>
      <c r="F69" s="4"/>
      <c r="G69" s="6">
        <v>39492</v>
      </c>
      <c r="H69" s="71">
        <v>61.75</v>
      </c>
      <c r="I69" s="72">
        <v>1354.11</v>
      </c>
      <c r="J69" s="73"/>
      <c r="K69" s="74">
        <f>(H69+J69)/D69</f>
        <v>1.070005198405822</v>
      </c>
      <c r="L69" s="74">
        <f>I69/E69</f>
        <v>0.9626146299850713</v>
      </c>
      <c r="M69" s="74">
        <f>K69-(I69/E69)+1</f>
        <v>1.107390568420751</v>
      </c>
      <c r="N69" s="74"/>
      <c r="O69" t="s" s="72">
        <v>154</v>
      </c>
      <c r="P69" s="75"/>
    </row>
    <row r="70" ht="12" customHeight="1">
      <c r="B70" t="s" s="3">
        <v>200</v>
      </c>
      <c r="C70" s="6">
        <v>39309</v>
      </c>
      <c r="D70" s="3">
        <v>5.5</v>
      </c>
      <c r="E70" s="3">
        <v>1406.7</v>
      </c>
      <c r="F70" s="4"/>
      <c r="G70" s="6">
        <v>39493</v>
      </c>
      <c r="H70" s="71">
        <v>9.300000000000001</v>
      </c>
      <c r="I70" s="72">
        <v>1348.86</v>
      </c>
      <c r="J70" s="73"/>
      <c r="K70" s="74">
        <f>(H70+J70)/D70</f>
        <v>1.690909090909091</v>
      </c>
      <c r="L70" s="74">
        <f>I70/E70</f>
        <v>0.9588824909362337</v>
      </c>
      <c r="M70" s="74">
        <f>K70-(I70/E70)+1</f>
        <v>1.732026599972857</v>
      </c>
      <c r="N70" s="74"/>
      <c r="O70" t="s" s="72">
        <v>150</v>
      </c>
      <c r="P70" s="75"/>
    </row>
    <row r="71" ht="12" customHeight="1">
      <c r="B71" t="s" s="3">
        <v>201</v>
      </c>
      <c r="C71" s="6">
        <v>39338</v>
      </c>
      <c r="D71" s="3">
        <v>21.57</v>
      </c>
      <c r="E71" s="3">
        <v>1483.95</v>
      </c>
      <c r="F71" s="4"/>
      <c r="G71" s="6">
        <v>39520</v>
      </c>
      <c r="H71" s="71">
        <v>20.44</v>
      </c>
      <c r="I71" s="72">
        <v>1315.48</v>
      </c>
      <c r="J71" s="73"/>
      <c r="K71" s="74">
        <f>(H71+J71)/D71</f>
        <v>0.9476124246638851</v>
      </c>
      <c r="L71" s="74">
        <f>I71/E71</f>
        <v>0.8864719161696822</v>
      </c>
      <c r="M71" s="74">
        <f>K71-(I71/E71)+1</f>
        <v>1.061140508494203</v>
      </c>
      <c r="N71" s="74"/>
      <c r="O71" t="s" s="72">
        <v>154</v>
      </c>
      <c r="P71" s="75"/>
    </row>
    <row r="72" ht="12" customHeight="1">
      <c r="B72" t="s" s="3">
        <v>202</v>
      </c>
      <c r="C72" s="6">
        <v>39356</v>
      </c>
      <c r="D72" s="3">
        <v>27.98</v>
      </c>
      <c r="E72" s="3">
        <v>1547.04</v>
      </c>
      <c r="F72" s="4"/>
      <c r="G72" s="6">
        <v>39539</v>
      </c>
      <c r="H72" s="71">
        <v>20.64</v>
      </c>
      <c r="I72" s="72">
        <v>1370.18</v>
      </c>
      <c r="J72" s="73"/>
      <c r="K72" s="74">
        <f>(H72+J72)/D72</f>
        <v>0.7376697641172266</v>
      </c>
      <c r="L72" s="74">
        <f>I72/E72</f>
        <v>0.8856784569241908</v>
      </c>
      <c r="M72" s="74">
        <f>K72-(I72/E72)+1</f>
        <v>0.8519913071930358</v>
      </c>
      <c r="N72" s="74"/>
      <c r="O72" t="s" s="72">
        <v>150</v>
      </c>
      <c r="P72" s="75"/>
    </row>
    <row r="73" ht="12" customHeight="1">
      <c r="B73" t="s" s="3">
        <v>203</v>
      </c>
      <c r="C73" s="6">
        <v>39387</v>
      </c>
      <c r="D73" s="3">
        <v>13.85</v>
      </c>
      <c r="E73" s="3">
        <v>1508.44</v>
      </c>
      <c r="F73" s="4"/>
      <c r="G73" s="6">
        <v>39569</v>
      </c>
      <c r="H73" s="71">
        <v>14.82</v>
      </c>
      <c r="I73" s="72">
        <v>1409.34</v>
      </c>
      <c r="J73" s="73">
        <v>0.08</v>
      </c>
      <c r="K73" s="74">
        <f>(H73+J73)/D73</f>
        <v>1.075812274368231</v>
      </c>
      <c r="L73" s="74">
        <f>I73/E73</f>
        <v>0.934302988517939</v>
      </c>
      <c r="M73" s="74">
        <f>K73-(I73/E73)+1</f>
        <v>1.141509285850292</v>
      </c>
      <c r="N73" s="74"/>
      <c r="O73" t="s" s="72">
        <v>150</v>
      </c>
      <c r="P73" s="75"/>
    </row>
    <row r="74" ht="12" customHeight="1">
      <c r="B74" t="s" s="3">
        <v>204</v>
      </c>
      <c r="C74" s="6">
        <v>39387</v>
      </c>
      <c r="D74" s="3">
        <v>37.5</v>
      </c>
      <c r="E74" s="3">
        <v>1508.44</v>
      </c>
      <c r="F74" s="4"/>
      <c r="G74" s="6">
        <v>39569</v>
      </c>
      <c r="H74" s="71">
        <v>65.26000000000001</v>
      </c>
      <c r="I74" s="72">
        <v>1409.34</v>
      </c>
      <c r="J74" s="73"/>
      <c r="K74" s="74">
        <f>(H74+J74)/D74</f>
        <v>1.740266666666667</v>
      </c>
      <c r="L74" s="74">
        <f>I74/E74</f>
        <v>0.934302988517939</v>
      </c>
      <c r="M74" s="74">
        <f>K74-(I74/E74)+1</f>
        <v>1.805963678148728</v>
      </c>
      <c r="N74" s="74"/>
      <c r="O74" t="s" s="72">
        <v>150</v>
      </c>
      <c r="P74" s="75"/>
    </row>
    <row r="75" ht="12" customHeight="1">
      <c r="B75" t="s" s="3">
        <v>205</v>
      </c>
      <c r="C75" s="6">
        <v>39388</v>
      </c>
      <c r="D75" s="3">
        <v>25.25</v>
      </c>
      <c r="E75" s="3">
        <v>1509.65</v>
      </c>
      <c r="F75" s="4"/>
      <c r="G75" s="6">
        <v>39570</v>
      </c>
      <c r="H75" s="71">
        <v>23.61</v>
      </c>
      <c r="I75" s="72">
        <v>1413.9</v>
      </c>
      <c r="J75" s="73"/>
      <c r="K75" s="74">
        <f>(H75+J75)/D75</f>
        <v>0.935049504950495</v>
      </c>
      <c r="L75" s="74">
        <f>I75/E75</f>
        <v>0.9365747027456696</v>
      </c>
      <c r="M75" s="74">
        <f>K75-(I75/E75)+1</f>
        <v>0.9984748022048254</v>
      </c>
      <c r="N75" s="74"/>
      <c r="O75" t="s" s="72">
        <v>150</v>
      </c>
      <c r="P75" s="75"/>
    </row>
    <row r="76" ht="12" customHeight="1">
      <c r="B76" t="s" s="3">
        <v>206</v>
      </c>
      <c r="C76" s="6">
        <v>39400</v>
      </c>
      <c r="D76" s="3">
        <v>38.15</v>
      </c>
      <c r="E76" s="3">
        <v>1470.58</v>
      </c>
      <c r="F76" s="4"/>
      <c r="G76" s="6">
        <v>39582</v>
      </c>
      <c r="H76" s="71">
        <v>63.27</v>
      </c>
      <c r="I76" s="72">
        <v>1408.66</v>
      </c>
      <c r="J76" s="73"/>
      <c r="K76" s="74">
        <f>(H76+J76)/D76</f>
        <v>1.658453473132372</v>
      </c>
      <c r="L76" s="74">
        <f>I76/E76</f>
        <v>0.9578941642073197</v>
      </c>
      <c r="M76" s="74">
        <f>K76-(I76/E76)+1</f>
        <v>1.700559308925053</v>
      </c>
      <c r="N76" s="74"/>
      <c r="O76" t="s" s="72">
        <v>150</v>
      </c>
      <c r="P76" s="75"/>
    </row>
    <row r="77" ht="12" customHeight="1">
      <c r="B77" t="s" s="3">
        <v>207</v>
      </c>
      <c r="C77" s="6">
        <v>39401</v>
      </c>
      <c r="D77" s="3">
        <v>26.1</v>
      </c>
      <c r="E77" s="3">
        <v>1451.15</v>
      </c>
      <c r="F77" s="4"/>
      <c r="G77" s="6">
        <v>39583</v>
      </c>
      <c r="H77" s="71">
        <v>33.65</v>
      </c>
      <c r="I77" s="72">
        <v>1423.57</v>
      </c>
      <c r="J77" s="73"/>
      <c r="K77" s="74">
        <f>(H77+J77)/D77</f>
        <v>1.289272030651341</v>
      </c>
      <c r="L77" s="74">
        <f>I77/E77</f>
        <v>0.9809943837646004</v>
      </c>
      <c r="M77" s="74">
        <f>K77-(I77/E77)+1</f>
        <v>1.308277646886741</v>
      </c>
      <c r="N77" s="74"/>
      <c r="O77" t="s" s="72">
        <v>208</v>
      </c>
      <c r="P77" s="75"/>
    </row>
    <row r="78" ht="12" customHeight="1">
      <c r="B78" t="s" s="3">
        <v>209</v>
      </c>
      <c r="C78" s="6">
        <v>39429</v>
      </c>
      <c r="D78" s="3">
        <v>20.01</v>
      </c>
      <c r="E78" s="3">
        <v>1488.41</v>
      </c>
      <c r="F78" s="4"/>
      <c r="G78" s="6">
        <v>39612</v>
      </c>
      <c r="H78" s="71">
        <v>23.04</v>
      </c>
      <c r="I78" s="72">
        <v>1360.03</v>
      </c>
      <c r="J78" s="73">
        <v>0.82</v>
      </c>
      <c r="K78" s="74">
        <f>(H78+J78)/D78</f>
        <v>1.192403798100949</v>
      </c>
      <c r="L78" s="74">
        <f>I78/E78</f>
        <v>0.9137468842590415</v>
      </c>
      <c r="M78" s="74">
        <f>K78-(I78/E78)+1</f>
        <v>1.278656913841908</v>
      </c>
      <c r="N78" s="74"/>
      <c r="O78" t="s" s="72">
        <v>208</v>
      </c>
      <c r="P78" s="75"/>
    </row>
    <row r="79" ht="12" customHeight="1">
      <c r="B79" t="s" s="3">
        <v>210</v>
      </c>
      <c r="C79" s="6">
        <v>39434</v>
      </c>
      <c r="D79" s="3">
        <v>27.86</v>
      </c>
      <c r="E79" s="3">
        <v>1454.98</v>
      </c>
      <c r="F79" s="4"/>
      <c r="G79" s="6">
        <v>39617</v>
      </c>
      <c r="H79" s="71">
        <v>23.63</v>
      </c>
      <c r="I79" s="72">
        <v>1337.81</v>
      </c>
      <c r="J79" s="73">
        <v>0.14</v>
      </c>
      <c r="K79" s="74">
        <f>(H79+J79)/D79</f>
        <v>0.8531945441493181</v>
      </c>
      <c r="L79" s="74">
        <f>I79/E79</f>
        <v>0.9194696834320746</v>
      </c>
      <c r="M79" s="74">
        <f>K79-(I79/E79)+1</f>
        <v>0.9337248607172435</v>
      </c>
      <c r="N79" s="74"/>
      <c r="O79" t="s" s="72">
        <v>150</v>
      </c>
      <c r="P79" s="75"/>
    </row>
    <row r="80" ht="12" customHeight="1">
      <c r="B80" t="s" s="3">
        <v>211</v>
      </c>
      <c r="C80" s="6">
        <v>39455</v>
      </c>
      <c r="D80" s="3">
        <v>32</v>
      </c>
      <c r="E80" s="3">
        <v>1390.19</v>
      </c>
      <c r="F80" s="4"/>
      <c r="G80" s="6">
        <v>39637</v>
      </c>
      <c r="H80" s="71">
        <v>29.95</v>
      </c>
      <c r="I80" s="72">
        <v>1273.7</v>
      </c>
      <c r="J80" s="73"/>
      <c r="K80" s="74">
        <f>(H80+J80)/D80</f>
        <v>0.9359375</v>
      </c>
      <c r="L80" s="74">
        <f>I80/E80</f>
        <v>0.9162056985016437</v>
      </c>
      <c r="M80" s="74">
        <f>K80-(I80/E80)+1</f>
        <v>1.019731801498356</v>
      </c>
      <c r="N80" s="74"/>
      <c r="O80" t="s" s="72">
        <v>150</v>
      </c>
      <c r="P80" s="75"/>
    </row>
    <row r="81" ht="12" customHeight="1">
      <c r="B81" t="s" s="3">
        <v>53</v>
      </c>
      <c r="C81" s="6">
        <v>39447</v>
      </c>
      <c r="D81" s="3">
        <v>16</v>
      </c>
      <c r="E81" s="3">
        <v>1468.36</v>
      </c>
      <c r="F81" s="4"/>
      <c r="G81" s="6">
        <v>39629</v>
      </c>
      <c r="H81" s="71">
        <v>5.37</v>
      </c>
      <c r="I81" s="72">
        <v>1280</v>
      </c>
      <c r="J81" s="73"/>
      <c r="K81" s="74">
        <f>(H81+J81)/D81</f>
        <v>0.335625</v>
      </c>
      <c r="L81" s="74">
        <f>I81/E81</f>
        <v>0.871720831403743</v>
      </c>
      <c r="M81" s="74">
        <f>K81-(I81/E81)+1</f>
        <v>0.463904168596257</v>
      </c>
      <c r="N81" s="74"/>
      <c r="O81" t="s" s="72">
        <v>150</v>
      </c>
      <c r="P81" s="75"/>
    </row>
    <row r="82" ht="12" customHeight="1">
      <c r="B82" t="s" s="3">
        <v>212</v>
      </c>
      <c r="C82" s="6">
        <v>39447</v>
      </c>
      <c r="D82" s="3">
        <v>23.58</v>
      </c>
      <c r="E82" s="3">
        <v>1468.36</v>
      </c>
      <c r="F82" s="4"/>
      <c r="G82" s="6">
        <v>39629</v>
      </c>
      <c r="H82" s="71">
        <v>19.05</v>
      </c>
      <c r="I82" s="72">
        <v>1280</v>
      </c>
      <c r="J82" s="73"/>
      <c r="K82" s="74">
        <f>(H82+J82)/D82</f>
        <v>0.8078880407124683</v>
      </c>
      <c r="L82" s="74">
        <f>I82/E82</f>
        <v>0.871720831403743</v>
      </c>
      <c r="M82" s="74">
        <f>K82-(I82/E82)+1</f>
        <v>0.9361672093087253</v>
      </c>
      <c r="N82" s="74"/>
      <c r="O82" t="s" s="72">
        <v>150</v>
      </c>
      <c r="P82" s="75"/>
    </row>
    <row r="83" ht="12" customHeight="1">
      <c r="B83" t="s" s="3">
        <v>213</v>
      </c>
      <c r="C83" s="6">
        <v>39479</v>
      </c>
      <c r="D83" s="3">
        <v>20.14</v>
      </c>
      <c r="E83" s="3">
        <v>1395.42</v>
      </c>
      <c r="F83" s="4"/>
      <c r="G83" s="6">
        <v>39661</v>
      </c>
      <c r="H83" s="71">
        <v>18.66</v>
      </c>
      <c r="I83" s="72">
        <v>1260.31</v>
      </c>
      <c r="J83" s="73">
        <v>0.36</v>
      </c>
      <c r="K83" s="74">
        <f>(H83+J83)/D83</f>
        <v>0.9443892750744786</v>
      </c>
      <c r="L83" s="74">
        <f>I83/E83</f>
        <v>0.9031761046853276</v>
      </c>
      <c r="M83" s="74">
        <f>K83-(I83/E83)+1</f>
        <v>1.041213170389151</v>
      </c>
      <c r="N83" s="74"/>
      <c r="O83" t="s" s="72">
        <v>150</v>
      </c>
      <c r="P83" s="75"/>
    </row>
    <row r="84" ht="12" customHeight="1">
      <c r="B84" t="s" s="3">
        <v>214</v>
      </c>
      <c r="C84" s="6">
        <v>39492</v>
      </c>
      <c r="D84" s="3">
        <v>13.4</v>
      </c>
      <c r="E84" s="3">
        <v>1348.86</v>
      </c>
      <c r="F84" s="4"/>
      <c r="G84" s="6">
        <v>39674</v>
      </c>
      <c r="H84" s="71">
        <v>5.23</v>
      </c>
      <c r="I84" s="72">
        <v>1292.93</v>
      </c>
      <c r="J84" s="73">
        <v>0.5</v>
      </c>
      <c r="K84" s="74">
        <f>(H84+J84)/D84</f>
        <v>0.4276119402985075</v>
      </c>
      <c r="L84" s="74">
        <f>I84/E84</f>
        <v>0.9585353557819196</v>
      </c>
      <c r="M84" s="74">
        <f>K84-(I84/E84)+1</f>
        <v>0.4690765845165878</v>
      </c>
      <c r="N84" s="74"/>
      <c r="O84" t="s" s="72">
        <v>150</v>
      </c>
      <c r="P84" s="75"/>
    </row>
    <row r="85" ht="12" customHeight="1">
      <c r="B85" t="s" s="3">
        <v>65</v>
      </c>
      <c r="C85" s="6">
        <v>39538</v>
      </c>
      <c r="D85" s="3">
        <v>50.58</v>
      </c>
      <c r="E85" s="3">
        <v>1322.7</v>
      </c>
      <c r="F85" s="4"/>
      <c r="G85" s="6">
        <v>39722</v>
      </c>
      <c r="H85" s="71">
        <v>50.78</v>
      </c>
      <c r="I85" s="72">
        <v>1161.06</v>
      </c>
      <c r="J85" s="73">
        <v>1</v>
      </c>
      <c r="K85" s="74">
        <f>(H85+J85)/D85</f>
        <v>1.023724792408067</v>
      </c>
      <c r="L85" s="74">
        <f>I85/E85</f>
        <v>0.8777954184622363</v>
      </c>
      <c r="M85" s="74">
        <f>K85-(I85/E85)+1</f>
        <v>1.14592937394583</v>
      </c>
      <c r="N85" s="74"/>
      <c r="O85" t="s" s="72">
        <v>150</v>
      </c>
      <c r="P85" s="75"/>
    </row>
    <row r="86" ht="12" customHeight="1">
      <c r="B86" t="s" s="3">
        <v>55</v>
      </c>
      <c r="C86" s="6">
        <v>39539</v>
      </c>
      <c r="D86" s="3">
        <v>21.5</v>
      </c>
      <c r="E86" s="3">
        <v>1370.18</v>
      </c>
      <c r="F86" s="4"/>
      <c r="G86" s="6">
        <v>39722</v>
      </c>
      <c r="H86" s="71">
        <v>20.88</v>
      </c>
      <c r="I86" s="72">
        <v>1161.06</v>
      </c>
      <c r="J86" s="73">
        <v>0.36</v>
      </c>
      <c r="K86" s="74">
        <f>(H86+J86)/D86</f>
        <v>0.9879069767441859</v>
      </c>
      <c r="L86" s="74">
        <f>I86/E86</f>
        <v>0.8473777167963332</v>
      </c>
      <c r="M86" s="74">
        <f>K86-(I86/E86)+1</f>
        <v>1.140529259947853</v>
      </c>
      <c r="N86" s="74"/>
      <c r="O86" t="s" s="72">
        <v>150</v>
      </c>
      <c r="P86" s="75"/>
    </row>
    <row r="87" ht="12" customHeight="1">
      <c r="B87" t="s" s="3">
        <v>215</v>
      </c>
      <c r="C87" s="6">
        <v>39561</v>
      </c>
      <c r="D87" s="3">
        <v>20.6</v>
      </c>
      <c r="E87" s="3">
        <v>1379.93</v>
      </c>
      <c r="F87" s="4"/>
      <c r="G87" s="6">
        <v>39744</v>
      </c>
      <c r="H87" s="71">
        <v>18.75</v>
      </c>
      <c r="I87" s="72">
        <v>908.11</v>
      </c>
      <c r="J87" s="73">
        <v>0.4</v>
      </c>
      <c r="K87" s="74">
        <f>(H87+J87)/D87</f>
        <v>0.9296116504854368</v>
      </c>
      <c r="L87" s="74">
        <f>I87/E87</f>
        <v>0.6580841057155072</v>
      </c>
      <c r="M87" s="74">
        <f>K87-(I87/E87)+1</f>
        <v>1.271527544769929</v>
      </c>
      <c r="N87" s="74"/>
      <c r="O87" t="s" s="72">
        <v>208</v>
      </c>
      <c r="P87" s="75"/>
    </row>
    <row r="88" ht="12" customHeight="1">
      <c r="B88" t="s" s="3">
        <v>216</v>
      </c>
      <c r="C88" s="6">
        <v>39559</v>
      </c>
      <c r="D88" s="3">
        <v>14.35</v>
      </c>
      <c r="E88" s="3">
        <v>1388.17</v>
      </c>
      <c r="F88" s="4"/>
      <c r="G88" s="6">
        <v>39742</v>
      </c>
      <c r="H88" s="71">
        <v>12.92</v>
      </c>
      <c r="I88" s="72">
        <v>955.05</v>
      </c>
      <c r="J88" s="73">
        <v>0.06</v>
      </c>
      <c r="K88" s="74">
        <f>(H88+J88)/D88</f>
        <v>0.9045296167247387</v>
      </c>
      <c r="L88" s="74">
        <f>I88/E88</f>
        <v>0.6879921047133996</v>
      </c>
      <c r="M88" s="74">
        <f>K88-(I88/E88)+1</f>
        <v>1.216537512011339</v>
      </c>
      <c r="N88" s="74"/>
      <c r="O88" t="s" s="72">
        <v>150</v>
      </c>
      <c r="P88" s="75"/>
    </row>
    <row r="89" ht="12" customHeight="1">
      <c r="B89" t="s" s="3">
        <v>63</v>
      </c>
      <c r="C89" s="6">
        <v>39569</v>
      </c>
      <c r="D89" s="3">
        <v>27.15</v>
      </c>
      <c r="E89" s="3">
        <v>1409.34</v>
      </c>
      <c r="F89" s="4"/>
      <c r="G89" s="6">
        <v>39755</v>
      </c>
      <c r="H89" s="71">
        <v>22.57</v>
      </c>
      <c r="I89" s="72">
        <v>966.3</v>
      </c>
      <c r="J89" s="73"/>
      <c r="K89" s="74">
        <f>(H89+J89)/D89</f>
        <v>0.8313075506445673</v>
      </c>
      <c r="L89" s="74">
        <f>I89/E89</f>
        <v>0.6856400868491634</v>
      </c>
      <c r="M89" s="74">
        <f>K89-(I89/E89)+1</f>
        <v>1.145667463795404</v>
      </c>
      <c r="N89" s="74"/>
      <c r="O89" t="s" s="72">
        <v>150</v>
      </c>
      <c r="P89" s="75"/>
    </row>
    <row r="90" ht="12" customHeight="1">
      <c r="B90" t="s" s="3">
        <v>217</v>
      </c>
      <c r="C90" s="6">
        <v>39577</v>
      </c>
      <c r="D90" s="3">
        <v>16.5</v>
      </c>
      <c r="E90" s="3">
        <v>1388.28</v>
      </c>
      <c r="F90" s="4"/>
      <c r="G90" s="6">
        <v>39762</v>
      </c>
      <c r="H90" s="71">
        <v>12.42</v>
      </c>
      <c r="I90" s="72">
        <v>919.21</v>
      </c>
      <c r="J90" s="73">
        <v>0.46</v>
      </c>
      <c r="K90" s="74">
        <f>(H90+J90)/D90</f>
        <v>0.7806060606060606</v>
      </c>
      <c r="L90" s="74">
        <f>I90/E90</f>
        <v>0.6621214740542254</v>
      </c>
      <c r="M90" s="74">
        <f>K90-(I90/E90)+1</f>
        <v>1.118484586551835</v>
      </c>
      <c r="N90" s="74"/>
      <c r="O90" t="s" s="72">
        <v>208</v>
      </c>
      <c r="P90" s="75"/>
    </row>
    <row r="91" ht="12" customHeight="1">
      <c r="B91" t="s" s="3">
        <v>57</v>
      </c>
      <c r="C91" s="6">
        <v>39608</v>
      </c>
      <c r="D91" s="3">
        <v>72.04000000000001</v>
      </c>
      <c r="E91" s="3">
        <v>1361.76</v>
      </c>
      <c r="F91" s="4"/>
      <c r="G91" s="6">
        <v>39791</v>
      </c>
      <c r="H91" s="71">
        <v>58.81</v>
      </c>
      <c r="I91" s="72">
        <v>888.67</v>
      </c>
      <c r="J91" s="73">
        <f>0.92*2</f>
        <v>1.84</v>
      </c>
      <c r="K91" s="74">
        <f>(H91+J91)/D91</f>
        <v>0.8418933925596891</v>
      </c>
      <c r="L91" s="74">
        <f>I91/E91</f>
        <v>0.6525892962049112</v>
      </c>
      <c r="M91" s="74">
        <f>K91-(I91/E91)+1</f>
        <v>1.189304096354778</v>
      </c>
      <c r="N91" s="74"/>
      <c r="O91" t="s" s="72">
        <v>150</v>
      </c>
      <c r="P91" s="75"/>
    </row>
    <row r="92" ht="12" customHeight="1">
      <c r="B92" t="s" s="3">
        <v>218</v>
      </c>
      <c r="C92" s="6">
        <v>39615</v>
      </c>
      <c r="D92" s="3">
        <v>42.26</v>
      </c>
      <c r="E92" s="3">
        <v>1360.14</v>
      </c>
      <c r="F92" s="4"/>
      <c r="G92" s="6">
        <v>39798</v>
      </c>
      <c r="H92" s="71">
        <v>21.13</v>
      </c>
      <c r="I92" s="72">
        <v>913.1799999999999</v>
      </c>
      <c r="J92" s="73">
        <v>0.16</v>
      </c>
      <c r="K92" s="74">
        <f>(H92+J92)/D92</f>
        <v>0.5037860861334595</v>
      </c>
      <c r="L92" s="74">
        <f>I92/E92</f>
        <v>0.6713867690090725</v>
      </c>
      <c r="M92" s="74">
        <f>K92-(I92/E92)+1</f>
        <v>0.8323993171243871</v>
      </c>
      <c r="N92" s="74"/>
      <c r="O92" t="s" s="72">
        <v>150</v>
      </c>
      <c r="P92" s="75"/>
    </row>
    <row r="93" ht="12" customHeight="1">
      <c r="B93" t="s" s="3">
        <v>219</v>
      </c>
      <c r="C93" s="6">
        <v>39619</v>
      </c>
      <c r="D93" s="3">
        <v>13.75</v>
      </c>
      <c r="E93" s="3">
        <v>1317.93</v>
      </c>
      <c r="F93" s="4"/>
      <c r="G93" s="6">
        <v>39801</v>
      </c>
      <c r="H93" s="71">
        <v>8.390000000000001</v>
      </c>
      <c r="I93" s="72">
        <v>887.88</v>
      </c>
      <c r="J93" s="73"/>
      <c r="K93" s="74">
        <f>(H93+J93)/D93</f>
        <v>0.6101818181818183</v>
      </c>
      <c r="L93" s="74">
        <f>I93/E93</f>
        <v>0.6736928364935922</v>
      </c>
      <c r="M93" s="74">
        <f>K93-(I93/E93)+1</f>
        <v>0.936488981688226</v>
      </c>
      <c r="N93" s="74"/>
      <c r="O93" t="s" s="72">
        <v>150</v>
      </c>
      <c r="P93" s="75"/>
    </row>
    <row r="94" ht="12" customHeight="1">
      <c r="B94" t="s" s="3">
        <v>220</v>
      </c>
      <c r="C94" s="6">
        <v>39624</v>
      </c>
      <c r="D94" s="3">
        <v>30.5</v>
      </c>
      <c r="E94" s="3">
        <v>1321.97</v>
      </c>
      <c r="F94" s="4"/>
      <c r="G94" s="6">
        <v>39806</v>
      </c>
      <c r="H94" s="71">
        <v>27.79</v>
      </c>
      <c r="I94" s="72">
        <v>868.15</v>
      </c>
      <c r="J94" s="73">
        <v>0.1</v>
      </c>
      <c r="K94" s="74">
        <f>(H94+J94)/D94</f>
        <v>0.9144262295081967</v>
      </c>
      <c r="L94" s="74">
        <f>I94/E94</f>
        <v>0.6567093050523083</v>
      </c>
      <c r="M94" s="74">
        <f>K94-(I94/E94)+1</f>
        <v>1.257716924455889</v>
      </c>
      <c r="N94" s="74"/>
      <c r="O94" t="s" s="72">
        <v>150</v>
      </c>
      <c r="P94" s="75"/>
    </row>
    <row r="95" ht="12" customHeight="1">
      <c r="B95" t="s" s="3">
        <v>221</v>
      </c>
      <c r="C95" s="6">
        <v>39630</v>
      </c>
      <c r="D95" s="3">
        <v>11.51</v>
      </c>
      <c r="E95" s="3">
        <v>1284.91</v>
      </c>
      <c r="F95" s="4"/>
      <c r="G95" s="6">
        <v>39815</v>
      </c>
      <c r="H95" s="71">
        <v>10.96</v>
      </c>
      <c r="I95" s="72">
        <v>931.8</v>
      </c>
      <c r="J95" s="73"/>
      <c r="K95" s="74">
        <f>(H95+J95)/D95</f>
        <v>0.952215464813206</v>
      </c>
      <c r="L95" s="74">
        <f>I95/E95</f>
        <v>0.7251869780762854</v>
      </c>
      <c r="M95" s="74">
        <f>K95-(I95/E95)+1</f>
        <v>1.227028486736921</v>
      </c>
      <c r="N95" s="74"/>
      <c r="O95" t="s" s="72">
        <v>182</v>
      </c>
      <c r="P95" s="75"/>
    </row>
    <row r="96" ht="12" customHeight="1">
      <c r="B96" t="s" s="3">
        <v>222</v>
      </c>
      <c r="C96" s="6">
        <v>39651</v>
      </c>
      <c r="D96" s="3">
        <v>13.5</v>
      </c>
      <c r="E96" s="3">
        <v>1277</v>
      </c>
      <c r="F96" s="4"/>
      <c r="G96" s="6">
        <v>39835</v>
      </c>
      <c r="H96" s="71">
        <v>9.130000000000001</v>
      </c>
      <c r="I96" s="72">
        <v>827.5</v>
      </c>
      <c r="J96" s="73">
        <v>0.07000000000000001</v>
      </c>
      <c r="K96" s="74">
        <f>(H96+J96)/D96</f>
        <v>0.6814814814814816</v>
      </c>
      <c r="L96" s="74">
        <f>I96/E96</f>
        <v>0.6480031323414253</v>
      </c>
      <c r="M96" s="74">
        <f>K96-(I96/E96)+1</f>
        <v>1.033478349140056</v>
      </c>
      <c r="N96" s="74"/>
      <c r="O96" t="s" s="72">
        <v>150</v>
      </c>
      <c r="P96" s="75"/>
    </row>
    <row r="97" ht="12" customHeight="1">
      <c r="B97" t="s" s="3">
        <v>223</v>
      </c>
      <c r="C97" s="6">
        <v>39664</v>
      </c>
      <c r="D97" s="3">
        <v>55.59</v>
      </c>
      <c r="E97" s="3">
        <v>1249.01</v>
      </c>
      <c r="F97" s="4"/>
      <c r="G97" s="6">
        <v>39848</v>
      </c>
      <c r="H97" s="71">
        <v>58.06</v>
      </c>
      <c r="I97" s="72">
        <v>832.23</v>
      </c>
      <c r="J97" s="73"/>
      <c r="K97" s="74">
        <f>(H97+J97)/D97</f>
        <v>1.044432451879834</v>
      </c>
      <c r="L97" s="74">
        <f>I97/E97</f>
        <v>0.6663117188813541</v>
      </c>
      <c r="M97" s="74">
        <f>K97-(I97/E97)+1</f>
        <v>1.37812073299848</v>
      </c>
      <c r="N97" s="74"/>
      <c r="O97" t="s" s="72">
        <v>182</v>
      </c>
      <c r="P97" s="75"/>
    </row>
    <row r="98" ht="12" customHeight="1">
      <c r="B98" t="s" s="3">
        <v>224</v>
      </c>
      <c r="C98" s="6">
        <v>39672</v>
      </c>
      <c r="D98" s="3">
        <v>23.71</v>
      </c>
      <c r="E98" s="3">
        <v>1289.58</v>
      </c>
      <c r="F98" s="4"/>
      <c r="G98" s="6">
        <v>39856</v>
      </c>
      <c r="H98" s="71">
        <v>4.95</v>
      </c>
      <c r="I98" s="72">
        <v>835.1900000000001</v>
      </c>
      <c r="J98" s="73"/>
      <c r="K98" s="74">
        <f>(H98+J98)/D98</f>
        <v>0.2087726697595951</v>
      </c>
      <c r="L98" s="74">
        <f>I98/E98</f>
        <v>0.6476449696800509</v>
      </c>
      <c r="M98" s="74">
        <f>K98-(I98/E98)+1</f>
        <v>0.5611277000795442</v>
      </c>
      <c r="N98" s="74"/>
      <c r="O98" t="s" s="72">
        <v>150</v>
      </c>
      <c r="P98" s="75"/>
    </row>
    <row r="99" ht="12" customHeight="1">
      <c r="B99" t="s" s="3">
        <v>225</v>
      </c>
      <c r="C99" s="6">
        <v>39672</v>
      </c>
      <c r="D99" s="3">
        <v>7.32</v>
      </c>
      <c r="E99" s="3">
        <v>1289.58</v>
      </c>
      <c r="F99" s="4"/>
      <c r="G99" s="6">
        <v>39856</v>
      </c>
      <c r="H99" s="71">
        <v>4.07</v>
      </c>
      <c r="I99" s="72">
        <v>835.1900000000001</v>
      </c>
      <c r="J99" s="73"/>
      <c r="K99" s="74">
        <f>(H99+J99)/D99</f>
        <v>0.5560109289617486</v>
      </c>
      <c r="L99" s="74">
        <f>I99/E99</f>
        <v>0.6476449696800509</v>
      </c>
      <c r="M99" s="74">
        <f>K99-(I99/E99)+1</f>
        <v>0.9083659592816977</v>
      </c>
      <c r="N99" s="74"/>
      <c r="O99" t="s" s="72">
        <v>150</v>
      </c>
      <c r="P99" s="75"/>
    </row>
    <row r="100" ht="12" customHeight="1">
      <c r="B100" t="s" s="3">
        <v>226</v>
      </c>
      <c r="C100" s="6">
        <v>39672</v>
      </c>
      <c r="D100" s="3">
        <v>13.2</v>
      </c>
      <c r="E100" s="3">
        <v>1289.58</v>
      </c>
      <c r="F100" s="4"/>
      <c r="G100" s="6">
        <v>39856</v>
      </c>
      <c r="H100" s="71">
        <v>5.03</v>
      </c>
      <c r="I100" s="72">
        <v>835.1900000000001</v>
      </c>
      <c r="J100" s="73"/>
      <c r="K100" s="74">
        <f>(H100+J100)/D100</f>
        <v>0.3810606060606061</v>
      </c>
      <c r="L100" s="74">
        <f>I100/E100</f>
        <v>0.6476449696800509</v>
      </c>
      <c r="M100" s="74">
        <f>K100-(I100/E100)+1</f>
        <v>0.7334156363805552</v>
      </c>
      <c r="N100" s="74"/>
      <c r="O100" t="s" s="72">
        <v>150</v>
      </c>
      <c r="P100" s="75"/>
    </row>
    <row r="101" ht="12" customHeight="1">
      <c r="B101" t="s" s="3">
        <v>227</v>
      </c>
      <c r="C101" s="6">
        <v>39672</v>
      </c>
      <c r="D101" s="3">
        <v>10.9</v>
      </c>
      <c r="E101" s="3">
        <v>1289.58</v>
      </c>
      <c r="F101" s="4"/>
      <c r="G101" s="6">
        <v>39856</v>
      </c>
      <c r="H101" s="71">
        <v>4.56</v>
      </c>
      <c r="I101" s="72">
        <v>835.1900000000001</v>
      </c>
      <c r="J101" s="73"/>
      <c r="K101" s="74">
        <f>(H101+J101)/D101</f>
        <v>0.418348623853211</v>
      </c>
      <c r="L101" s="74">
        <f>I101/E101</f>
        <v>0.6476449696800509</v>
      </c>
      <c r="M101" s="74">
        <f>K101-(I101/E101)+1</f>
        <v>0.77070365417316</v>
      </c>
      <c r="N101" s="74"/>
      <c r="O101" t="s" s="72">
        <v>150</v>
      </c>
      <c r="P101" s="75"/>
    </row>
    <row r="102" ht="12" customHeight="1">
      <c r="B102" t="s" s="3">
        <v>228</v>
      </c>
      <c r="C102" s="6">
        <v>39709</v>
      </c>
      <c r="D102" s="3">
        <v>27.21</v>
      </c>
      <c r="E102" s="3">
        <v>1206.51</v>
      </c>
      <c r="F102" s="4"/>
      <c r="G102" s="6">
        <v>39890</v>
      </c>
      <c r="H102" s="71">
        <v>26.13</v>
      </c>
      <c r="I102" s="72">
        <v>766.54</v>
      </c>
      <c r="J102" s="73"/>
      <c r="K102" s="74">
        <f>(H102+J102)/D102</f>
        <v>0.9603087100330761</v>
      </c>
      <c r="L102" s="74">
        <f>I102/E102</f>
        <v>0.6353366321041682</v>
      </c>
      <c r="M102" s="74">
        <f>K102-(I102/E102)+1</f>
        <v>1.324972077928908</v>
      </c>
      <c r="N102" s="74"/>
      <c r="O102" t="s" s="72">
        <v>150</v>
      </c>
      <c r="P102" s="75"/>
    </row>
    <row r="103" ht="12" customHeight="1">
      <c r="B103" t="s" s="3">
        <v>229</v>
      </c>
      <c r="C103" s="6">
        <v>39713</v>
      </c>
      <c r="D103" s="3">
        <v>9.75</v>
      </c>
      <c r="E103" s="3">
        <v>1207.08</v>
      </c>
      <c r="F103" s="4"/>
      <c r="G103" s="6">
        <v>39895</v>
      </c>
      <c r="H103" s="71">
        <v>1.93</v>
      </c>
      <c r="I103" s="72">
        <v>822.92</v>
      </c>
      <c r="J103" s="73"/>
      <c r="K103" s="74">
        <f>(H103+J103)/D103</f>
        <v>0.1979487179487179</v>
      </c>
      <c r="L103" s="74">
        <f>I103/E103</f>
        <v>0.681744374855022</v>
      </c>
      <c r="M103" s="74">
        <f>K103-(I103/E103)+1</f>
        <v>0.5162043430936959</v>
      </c>
      <c r="N103" s="74"/>
      <c r="O103" t="s" s="72">
        <v>150</v>
      </c>
      <c r="P103" s="75"/>
    </row>
    <row r="104" ht="12" customHeight="1">
      <c r="B104" t="s" s="3">
        <v>230</v>
      </c>
      <c r="C104" s="6">
        <v>39713</v>
      </c>
      <c r="D104" s="3">
        <v>78</v>
      </c>
      <c r="E104" s="3">
        <v>1207.08</v>
      </c>
      <c r="F104" s="4"/>
      <c r="G104" s="6">
        <v>39895</v>
      </c>
      <c r="H104" s="71">
        <v>21.77</v>
      </c>
      <c r="I104" s="72">
        <v>822.92</v>
      </c>
      <c r="J104" s="73"/>
      <c r="K104" s="74">
        <f>(H104+J104)/D104</f>
        <v>0.2791025641025641</v>
      </c>
      <c r="L104" s="74">
        <f>I104/E104</f>
        <v>0.681744374855022</v>
      </c>
      <c r="M104" s="74">
        <f>K104-(I104/E104)+1</f>
        <v>0.5973581892475421</v>
      </c>
      <c r="N104" s="74"/>
      <c r="O104" t="s" s="72">
        <v>150</v>
      </c>
      <c r="P104" s="75"/>
    </row>
    <row r="105" ht="12" customHeight="1">
      <c r="B105" t="s" s="3">
        <v>231</v>
      </c>
      <c r="C105" s="6">
        <v>39742</v>
      </c>
      <c r="D105" s="3">
        <v>23.42</v>
      </c>
      <c r="E105" s="3">
        <v>955.05</v>
      </c>
      <c r="F105" s="4"/>
      <c r="G105" s="6">
        <v>39924</v>
      </c>
      <c r="H105" s="71">
        <v>24.42</v>
      </c>
      <c r="I105" s="72">
        <v>850.08</v>
      </c>
      <c r="J105" s="73"/>
      <c r="K105" s="74">
        <f>(H105+J105)/D105</f>
        <v>1.04269854824936</v>
      </c>
      <c r="L105" s="74">
        <f>I105/E105</f>
        <v>0.8900895241086855</v>
      </c>
      <c r="M105" s="74">
        <f>K105-(I105/E105)+1</f>
        <v>1.152609024140674</v>
      </c>
      <c r="N105" s="74"/>
      <c r="O105" t="s" s="72">
        <v>150</v>
      </c>
      <c r="P105" s="75"/>
    </row>
    <row r="106" ht="12" customHeight="1">
      <c r="B106" t="s" s="3">
        <v>232</v>
      </c>
      <c r="C106" s="6">
        <v>39773</v>
      </c>
      <c r="D106" s="3">
        <v>0.3</v>
      </c>
      <c r="E106" s="3">
        <v>800.03</v>
      </c>
      <c r="F106" s="4"/>
      <c r="G106" s="6">
        <v>39589</v>
      </c>
      <c r="H106" s="71">
        <v>0.76</v>
      </c>
      <c r="I106" s="72">
        <v>888.33</v>
      </c>
      <c r="J106" s="73"/>
      <c r="K106" s="74">
        <f>(H106+J106)/D106</f>
        <v>2.533333333333334</v>
      </c>
      <c r="L106" s="74">
        <f>I106/E106</f>
        <v>1.110370861092709</v>
      </c>
      <c r="M106" s="74">
        <f>K106-(I106/E106)+1</f>
        <v>2.422962472240624</v>
      </c>
      <c r="N106" s="74"/>
      <c r="O106" t="s" s="72">
        <v>150</v>
      </c>
      <c r="P106" s="75"/>
    </row>
    <row r="107" ht="12" customHeight="1">
      <c r="B107" t="s" s="3">
        <v>233</v>
      </c>
      <c r="C107" s="6">
        <v>39800</v>
      </c>
      <c r="D107" s="3">
        <v>13.25</v>
      </c>
      <c r="E107" s="3">
        <v>885.28</v>
      </c>
      <c r="F107" s="4"/>
      <c r="G107" s="6">
        <v>39982</v>
      </c>
      <c r="H107" s="71">
        <v>26.41</v>
      </c>
      <c r="I107" s="72">
        <v>918.37</v>
      </c>
      <c r="J107" s="73"/>
      <c r="K107" s="74">
        <f>(H107+J107)/D107</f>
        <v>1.993207547169811</v>
      </c>
      <c r="L107" s="74">
        <f>I107/E107</f>
        <v>1.037378004699078</v>
      </c>
      <c r="M107" s="74">
        <f>K107-(I107/E107)+1</f>
        <v>1.955829542470733</v>
      </c>
      <c r="N107" s="74"/>
      <c r="O107" t="s" s="72">
        <v>150</v>
      </c>
      <c r="P107" s="75"/>
    </row>
    <row r="108" ht="12" customHeight="1">
      <c r="B108" t="s" s="3">
        <v>234</v>
      </c>
      <c r="C108" s="6">
        <v>39804</v>
      </c>
      <c r="D108" s="3">
        <v>11.43</v>
      </c>
      <c r="E108" s="3">
        <v>871.63</v>
      </c>
      <c r="F108" s="4"/>
      <c r="G108" s="6">
        <v>39986</v>
      </c>
      <c r="H108" s="71">
        <v>8.029999999999999</v>
      </c>
      <c r="I108" s="72">
        <v>893.04</v>
      </c>
      <c r="J108" s="73"/>
      <c r="K108" s="74">
        <f>(H108+J108)/D108</f>
        <v>0.7025371828521434</v>
      </c>
      <c r="L108" s="74">
        <f>I108/E108</f>
        <v>1.024563174741576</v>
      </c>
      <c r="M108" s="74">
        <f>K108-(I108/E108)+1</f>
        <v>0.6779740081105674</v>
      </c>
      <c r="N108" s="74"/>
      <c r="O108" t="s" s="72">
        <v>150</v>
      </c>
      <c r="P108" s="75"/>
    </row>
    <row r="109" ht="12" customHeight="1">
      <c r="B109" t="s" s="3">
        <v>235</v>
      </c>
      <c r="C109" s="6">
        <v>39818</v>
      </c>
      <c r="D109" s="3">
        <v>8.81</v>
      </c>
      <c r="E109" s="3">
        <v>927.45</v>
      </c>
      <c r="F109" s="4"/>
      <c r="G109" s="6">
        <v>40000</v>
      </c>
      <c r="H109" s="71">
        <v>14.17</v>
      </c>
      <c r="I109" s="72">
        <v>898.72</v>
      </c>
      <c r="J109" s="73"/>
      <c r="K109" s="74">
        <f>(H109+J109)/D109</f>
        <v>1.608399545970488</v>
      </c>
      <c r="L109" s="74">
        <f>I109/E109</f>
        <v>0.9690225888188042</v>
      </c>
      <c r="M109" s="74">
        <f>K109-(I109/E109)+1</f>
        <v>1.639376957151684</v>
      </c>
      <c r="N109" s="74"/>
      <c r="O109" t="s" s="72">
        <v>150</v>
      </c>
      <c r="P109" s="75"/>
    </row>
    <row r="110" ht="12" customHeight="1">
      <c r="B110" t="s" s="3">
        <v>236</v>
      </c>
      <c r="C110" s="6">
        <v>39855</v>
      </c>
      <c r="D110" s="3">
        <v>26.43</v>
      </c>
      <c r="E110" s="3">
        <v>833.74</v>
      </c>
      <c r="F110" s="4"/>
      <c r="G110" s="6">
        <v>40037</v>
      </c>
      <c r="H110" s="71">
        <v>38.9</v>
      </c>
      <c r="I110" s="72">
        <v>1005.81</v>
      </c>
      <c r="J110" s="73">
        <v>0.1</v>
      </c>
      <c r="K110" s="74">
        <f>(H110+J110)/D110</f>
        <v>1.475595913734393</v>
      </c>
      <c r="L110" s="74">
        <f>I110/E110</f>
        <v>1.206383284956941</v>
      </c>
      <c r="M110" s="74">
        <f>K110-(I110/E110)+1</f>
        <v>1.269212628777452</v>
      </c>
      <c r="N110" s="74"/>
      <c r="O110" t="s" s="72">
        <v>208</v>
      </c>
      <c r="P110" s="75"/>
    </row>
    <row r="111" ht="12" customHeight="1">
      <c r="B111" t="s" s="3">
        <v>192</v>
      </c>
      <c r="C111" s="6">
        <v>39881</v>
      </c>
      <c r="D111" s="3">
        <v>20.37</v>
      </c>
      <c r="E111" s="3">
        <v>676.53</v>
      </c>
      <c r="F111" s="4"/>
      <c r="G111" s="6">
        <v>40065</v>
      </c>
      <c r="H111" s="71">
        <v>39.26</v>
      </c>
      <c r="I111" s="72">
        <v>1033.37</v>
      </c>
      <c r="J111" s="73"/>
      <c r="K111" s="74">
        <f>(H111+J111)/D111</f>
        <v>1.9273441335297</v>
      </c>
      <c r="L111" s="74">
        <f>I111/E111</f>
        <v>1.527456284274164</v>
      </c>
      <c r="M111" s="74">
        <f>K111-(I111/E111)+1</f>
        <v>1.399887849255537</v>
      </c>
      <c r="N111" s="74"/>
      <c r="O111" t="s" s="72">
        <v>150</v>
      </c>
      <c r="P111" s="75"/>
    </row>
    <row r="112" ht="12" customHeight="1">
      <c r="B112" t="s" s="3">
        <v>189</v>
      </c>
      <c r="C112" s="6">
        <v>39946</v>
      </c>
      <c r="D112" s="3">
        <v>5.8</v>
      </c>
      <c r="E112" s="3">
        <v>883.92</v>
      </c>
      <c r="F112" s="4"/>
      <c r="G112" s="6">
        <v>40130</v>
      </c>
      <c r="H112" s="71">
        <v>6.15</v>
      </c>
      <c r="I112" s="72">
        <v>1093.48</v>
      </c>
      <c r="J112" s="73"/>
      <c r="K112" s="74">
        <f>(H112+J112)/D112</f>
        <v>1.060344827586207</v>
      </c>
      <c r="L112" s="74">
        <f>I112/E112</f>
        <v>1.237080278758259</v>
      </c>
      <c r="M112" s="74">
        <f>K112-(I112/E112)+1</f>
        <v>0.8232645488279484</v>
      </c>
      <c r="N112" s="74"/>
      <c r="O112" t="s" s="72">
        <v>150</v>
      </c>
      <c r="P112" s="75"/>
    </row>
    <row r="113" ht="12" customHeight="1">
      <c r="B113" t="s" s="3">
        <v>237</v>
      </c>
      <c r="C113" s="6">
        <v>39994</v>
      </c>
      <c r="D113" s="3">
        <v>4.65</v>
      </c>
      <c r="E113" s="3">
        <v>919.3200000000001</v>
      </c>
      <c r="F113" s="4"/>
      <c r="G113" s="6">
        <v>40177</v>
      </c>
      <c r="H113" s="71">
        <v>5.12</v>
      </c>
      <c r="I113" s="72">
        <v>1126.42</v>
      </c>
      <c r="J113" s="73"/>
      <c r="K113" s="74">
        <f>(H113+J113)/D113</f>
        <v>1.101075268817204</v>
      </c>
      <c r="L113" s="74">
        <f>I113/E113</f>
        <v>1.225275203411217</v>
      </c>
      <c r="M113" s="74">
        <f>K113-(I113/E113)+1</f>
        <v>0.8758000654059872</v>
      </c>
      <c r="N113" s="74"/>
      <c r="O113" t="s" s="72">
        <v>150</v>
      </c>
      <c r="P113" s="75"/>
    </row>
    <row r="114" ht="12" customHeight="1">
      <c r="B114" t="s" s="3">
        <v>76</v>
      </c>
      <c r="C114" s="6">
        <v>40031</v>
      </c>
      <c r="D114" s="3">
        <v>7</v>
      </c>
      <c r="E114" s="3">
        <v>997.08</v>
      </c>
      <c r="F114" s="4"/>
      <c r="G114" s="6">
        <v>40215</v>
      </c>
      <c r="H114" s="71">
        <v>23.24</v>
      </c>
      <c r="I114" s="72">
        <v>1137.14</v>
      </c>
      <c r="J114" s="73"/>
      <c r="K114" s="74">
        <f>(H114+J114)/D114</f>
        <v>3.32</v>
      </c>
      <c r="L114" s="74">
        <f>I114/E114</f>
        <v>1.140470172904882</v>
      </c>
      <c r="M114" s="74">
        <f>K114-(I114/E114)+1</f>
        <v>3.179529827095117</v>
      </c>
      <c r="N114" s="74"/>
      <c r="O114" t="s" s="72">
        <v>150</v>
      </c>
      <c r="P114" s="75"/>
    </row>
    <row r="115" ht="12" customHeight="1">
      <c r="B115" t="s" s="3">
        <v>238</v>
      </c>
      <c r="C115" s="6">
        <v>40050</v>
      </c>
      <c r="D115" s="3">
        <v>26</v>
      </c>
      <c r="E115" s="3">
        <v>1028</v>
      </c>
      <c r="F115" s="4"/>
      <c r="G115" s="6">
        <v>40235</v>
      </c>
      <c r="H115" s="71">
        <v>21.31</v>
      </c>
      <c r="I115" s="72">
        <v>1102.93</v>
      </c>
      <c r="J115" s="73"/>
      <c r="K115" s="74">
        <f>(H115+J115)/D115</f>
        <v>0.8196153846153845</v>
      </c>
      <c r="L115" s="74">
        <f>I115/E115</f>
        <v>1.072889105058366</v>
      </c>
      <c r="M115" s="74">
        <f>K115-(I115/E115)+1</f>
        <v>0.7467262795570188</v>
      </c>
      <c r="N115" s="74"/>
      <c r="O115" t="s" s="72">
        <v>150</v>
      </c>
      <c r="P115" s="75"/>
    </row>
    <row r="116" ht="12" customHeight="1">
      <c r="B116" t="s" s="3">
        <v>239</v>
      </c>
      <c r="C116" s="6">
        <v>40057</v>
      </c>
      <c r="D116" s="3">
        <v>19.9</v>
      </c>
      <c r="E116" s="3">
        <v>998.04</v>
      </c>
      <c r="F116" s="4"/>
      <c r="G116" s="6">
        <v>40238</v>
      </c>
      <c r="H116" s="71">
        <v>26.09</v>
      </c>
      <c r="I116" s="72">
        <v>1115.71</v>
      </c>
      <c r="J116" s="73"/>
      <c r="K116" s="74">
        <f>(H116+J116)/D116</f>
        <v>1.31105527638191</v>
      </c>
      <c r="L116" s="74">
        <f>I116/E116</f>
        <v>1.117901086128813</v>
      </c>
      <c r="M116" s="74">
        <f>K116-(I116/E116)+1</f>
        <v>1.193154190253097</v>
      </c>
      <c r="N116" s="74"/>
      <c r="O116" t="s" s="72">
        <v>150</v>
      </c>
      <c r="P116" s="75"/>
    </row>
    <row r="117" ht="12" customHeight="1">
      <c r="B117" t="s" s="3">
        <v>240</v>
      </c>
      <c r="C117" s="6">
        <v>40072</v>
      </c>
      <c r="D117" s="3">
        <v>0.7</v>
      </c>
      <c r="E117" s="3">
        <v>1068.76</v>
      </c>
      <c r="F117" s="4"/>
      <c r="G117" s="6">
        <v>40253</v>
      </c>
      <c r="H117" s="71">
        <v>2.5</v>
      </c>
      <c r="I117" s="72">
        <v>1159.46</v>
      </c>
      <c r="J117" s="73"/>
      <c r="K117" s="74">
        <f>(H117+J117)/D117</f>
        <v>3.571428571428572</v>
      </c>
      <c r="L117" s="74">
        <f>I117/E117</f>
        <v>1.084864703020323</v>
      </c>
      <c r="M117" s="74">
        <f>K117-(I117/E117)+1</f>
        <v>3.486563868408249</v>
      </c>
      <c r="N117" s="74"/>
      <c r="O117" t="s" s="72">
        <v>150</v>
      </c>
      <c r="P117" s="75"/>
    </row>
    <row r="118" ht="12" customHeight="1">
      <c r="B118" t="s" s="3">
        <v>241</v>
      </c>
      <c r="C118" s="6">
        <v>40080</v>
      </c>
      <c r="D118" s="3">
        <v>27.25</v>
      </c>
      <c r="E118" s="3">
        <v>1050.78</v>
      </c>
      <c r="F118" s="4"/>
      <c r="G118" s="6">
        <v>40260</v>
      </c>
      <c r="H118" s="71">
        <v>23.49</v>
      </c>
      <c r="I118" s="72">
        <v>1167.72</v>
      </c>
      <c r="J118" s="73">
        <v>0.06</v>
      </c>
      <c r="K118" s="74">
        <f>(H118+J118)/D118</f>
        <v>0.8642201834862384</v>
      </c>
      <c r="L118" s="74">
        <f>I118/E118</f>
        <v>1.111288756923428</v>
      </c>
      <c r="M118" s="74">
        <f>K118-(I118/E118)+1</f>
        <v>0.75293142656281</v>
      </c>
      <c r="N118" s="74"/>
      <c r="O118" t="s" s="72">
        <v>208</v>
      </c>
      <c r="P118" s="75"/>
    </row>
    <row r="119" ht="12" customHeight="1">
      <c r="B119" t="s" s="3">
        <v>242</v>
      </c>
      <c r="C119" s="6">
        <v>40136</v>
      </c>
      <c r="D119" s="3">
        <v>47.84</v>
      </c>
      <c r="E119" s="3">
        <v>1094.9</v>
      </c>
      <c r="F119" s="4"/>
      <c r="G119" s="6">
        <v>40317</v>
      </c>
      <c r="H119" s="71">
        <v>55</v>
      </c>
      <c r="I119" s="72">
        <v>1115.05</v>
      </c>
      <c r="J119" s="73"/>
      <c r="K119" s="74">
        <f>(H119+J119)/D119</f>
        <v>1.149665551839465</v>
      </c>
      <c r="L119" s="74">
        <f>I119/E119</f>
        <v>1.018403507169604</v>
      </c>
      <c r="M119" s="74">
        <f>K119-(I119/E119)+1</f>
        <v>1.13126204466986</v>
      </c>
      <c r="N119" s="74"/>
      <c r="O119" t="s" s="72">
        <v>182</v>
      </c>
      <c r="P119" s="75"/>
    </row>
    <row r="120" ht="12" customHeight="1">
      <c r="B120" t="s" s="3">
        <v>79</v>
      </c>
      <c r="C120" s="6">
        <v>40137</v>
      </c>
      <c r="D120" s="3">
        <v>14.84</v>
      </c>
      <c r="E120" s="3">
        <v>1091.38</v>
      </c>
      <c r="F120" s="4"/>
      <c r="G120" s="6">
        <v>40318</v>
      </c>
      <c r="H120" s="71">
        <v>13.83</v>
      </c>
      <c r="I120" s="72">
        <v>1071.59</v>
      </c>
      <c r="J120" s="73"/>
      <c r="K120" s="74">
        <f>(H120+J120)/D120</f>
        <v>0.9319407008086253</v>
      </c>
      <c r="L120" s="74">
        <f>I120/E120</f>
        <v>0.9818669940808883</v>
      </c>
      <c r="M120" s="74">
        <f>K120-(I120/E120)+1</f>
        <v>0.9500737067277371</v>
      </c>
      <c r="N120" s="74"/>
      <c r="O120" t="s" s="72">
        <v>208</v>
      </c>
      <c r="P120" s="75"/>
    </row>
    <row r="121" ht="12" customHeight="1">
      <c r="B121" t="s" s="3">
        <v>243</v>
      </c>
      <c r="C121" s="6">
        <v>40144</v>
      </c>
      <c r="D121" s="3">
        <v>23</v>
      </c>
      <c r="E121" s="3">
        <v>1091.49</v>
      </c>
      <c r="F121" s="4"/>
      <c r="G121" s="6">
        <v>40324</v>
      </c>
      <c r="H121" s="71">
        <v>20.72</v>
      </c>
      <c r="I121" s="72">
        <v>1067.95</v>
      </c>
      <c r="J121" s="73"/>
      <c r="K121" s="74">
        <f>(H121+J121)/D121</f>
        <v>0.9008695652173913</v>
      </c>
      <c r="L121" s="74">
        <f>I121/E121</f>
        <v>0.9784331510137518</v>
      </c>
      <c r="M121" s="74">
        <f>K121-(I121/E121)+1</f>
        <v>0.9224364142036394</v>
      </c>
      <c r="N121" s="74"/>
      <c r="O121" t="s" s="72">
        <v>150</v>
      </c>
      <c r="P121" s="75"/>
    </row>
    <row r="122" ht="12" customHeight="1">
      <c r="B122" t="s" s="3">
        <v>236</v>
      </c>
      <c r="C122" s="6">
        <v>40161</v>
      </c>
      <c r="D122" s="3">
        <v>43.23</v>
      </c>
      <c r="E122" s="3">
        <v>1114.11</v>
      </c>
      <c r="F122" s="4"/>
      <c r="G122" s="6">
        <v>40343</v>
      </c>
      <c r="H122" s="71">
        <v>52.75</v>
      </c>
      <c r="I122" s="72">
        <v>1089.63</v>
      </c>
      <c r="J122" s="73"/>
      <c r="K122" s="74">
        <f>(H122+J122)/D122</f>
        <v>1.220217441591487</v>
      </c>
      <c r="L122" s="74">
        <f>I122/E122</f>
        <v>0.9780273043056792</v>
      </c>
      <c r="M122" s="74">
        <f>K122-(I122/E122)+1</f>
        <v>1.242190137285808</v>
      </c>
      <c r="N122" s="74"/>
      <c r="O122" t="s" s="72">
        <v>150</v>
      </c>
      <c r="P122" s="75"/>
    </row>
    <row r="123" ht="12" customHeight="1">
      <c r="B123" t="s" s="3">
        <v>244</v>
      </c>
      <c r="C123" s="6">
        <v>40203</v>
      </c>
      <c r="D123" s="3">
        <v>21.74</v>
      </c>
      <c r="E123" s="3">
        <v>1096.78</v>
      </c>
      <c r="F123" s="4"/>
      <c r="G123" s="6">
        <v>40385</v>
      </c>
      <c r="H123" s="71">
        <v>19</v>
      </c>
      <c r="I123" s="72">
        <v>1115.01</v>
      </c>
      <c r="J123" s="73"/>
      <c r="K123" s="74">
        <f>(H123+J123)/D123</f>
        <v>0.8739650413983441</v>
      </c>
      <c r="L123" s="74">
        <f>I123/E123</f>
        <v>1.01662138259268</v>
      </c>
      <c r="M123" s="74">
        <f>K123-(I123/E123)+1</f>
        <v>0.8573436588056637</v>
      </c>
      <c r="N123" s="74"/>
      <c r="O123" t="s" s="72">
        <v>150</v>
      </c>
      <c r="P123" s="75"/>
    </row>
    <row r="124" ht="12" customHeight="1">
      <c r="B124" t="s" s="3">
        <v>245</v>
      </c>
      <c r="C124" s="6">
        <v>40247</v>
      </c>
      <c r="D124" s="3">
        <v>13.96</v>
      </c>
      <c r="E124" s="3">
        <v>1145.61</v>
      </c>
      <c r="F124" s="4"/>
      <c r="G124" s="6">
        <v>40431</v>
      </c>
      <c r="H124" s="71">
        <v>11.13</v>
      </c>
      <c r="I124" s="72">
        <v>1109.55</v>
      </c>
      <c r="J124" s="73">
        <v>0.16</v>
      </c>
      <c r="K124" s="74">
        <f>(H124+J124)/D124</f>
        <v>0.8087392550143266</v>
      </c>
      <c r="L124" s="74">
        <f>I124/E124</f>
        <v>0.9685233194542646</v>
      </c>
      <c r="M124" s="74">
        <f>K124-(I124/E124)+1</f>
        <v>0.840215935560062</v>
      </c>
      <c r="N124" s="74"/>
      <c r="O124" t="s" s="72">
        <v>208</v>
      </c>
      <c r="P124" s="75"/>
    </row>
    <row r="125" ht="12" customHeight="1">
      <c r="B125" t="s" s="3">
        <v>246</v>
      </c>
      <c r="C125" s="6">
        <v>40269</v>
      </c>
      <c r="D125" s="3">
        <v>19.65</v>
      </c>
      <c r="E125" s="3">
        <v>1178.1</v>
      </c>
      <c r="F125" s="4"/>
      <c r="G125" s="6">
        <v>40452</v>
      </c>
      <c r="H125" s="71">
        <v>20.5</v>
      </c>
      <c r="I125" s="72">
        <v>1146.24</v>
      </c>
      <c r="J125" s="73">
        <v>0.01</v>
      </c>
      <c r="K125" s="74">
        <f>(H125+J125)/D125</f>
        <v>1.043765903307888</v>
      </c>
      <c r="L125" s="74">
        <f>I125/E125</f>
        <v>0.9729564553093966</v>
      </c>
      <c r="M125" s="74">
        <f>K125-(I125/E125)+1</f>
        <v>1.070809447998492</v>
      </c>
      <c r="N125" s="74"/>
      <c r="O125" t="s" s="72">
        <v>208</v>
      </c>
      <c r="P125" s="75"/>
    </row>
    <row r="126" ht="12" customHeight="1">
      <c r="B126" t="s" s="3">
        <v>247</v>
      </c>
      <c r="C126" s="6">
        <v>40298</v>
      </c>
      <c r="D126" s="3">
        <v>23.25</v>
      </c>
      <c r="E126" s="3">
        <v>1186.68</v>
      </c>
      <c r="F126" s="4"/>
      <c r="G126" s="6">
        <v>40480</v>
      </c>
      <c r="H126" s="71">
        <v>24.06</v>
      </c>
      <c r="I126" s="72">
        <v>1183.26</v>
      </c>
      <c r="J126" s="73"/>
      <c r="K126" s="74">
        <f>(H126+J126)/D126</f>
        <v>1.034838709677419</v>
      </c>
      <c r="L126" s="74">
        <f>I126/E126</f>
        <v>0.997118009910001</v>
      </c>
      <c r="M126" s="74">
        <f>K126-(I126/E126)+1</f>
        <v>1.037720699767418</v>
      </c>
      <c r="N126" s="74"/>
      <c r="O126" t="s" s="72">
        <v>150</v>
      </c>
      <c r="P126" s="75"/>
    </row>
    <row r="127" ht="12" customHeight="1">
      <c r="B127" t="s" s="3">
        <v>248</v>
      </c>
      <c r="C127" s="6">
        <v>40344</v>
      </c>
      <c r="D127" s="3">
        <v>9.300000000000001</v>
      </c>
      <c r="E127" s="3">
        <v>1115.23</v>
      </c>
      <c r="F127" s="4"/>
      <c r="G127" s="6">
        <v>40527</v>
      </c>
      <c r="H127" s="71">
        <v>13.06</v>
      </c>
      <c r="I127" s="72">
        <v>1235.23</v>
      </c>
      <c r="J127" s="73"/>
      <c r="K127" s="74">
        <f>(H127+J127)/D127</f>
        <v>1.404301075268817</v>
      </c>
      <c r="L127" s="74">
        <f>I127/E127</f>
        <v>1.10760112263838</v>
      </c>
      <c r="M127" s="74">
        <f>K127-(I127/E127)+1</f>
        <v>1.296699952630438</v>
      </c>
      <c r="N127" s="74"/>
      <c r="O127" t="s" s="72">
        <v>150</v>
      </c>
      <c r="P127" s="75"/>
    </row>
    <row r="128" ht="12" customHeight="1">
      <c r="B128" t="s" s="3">
        <v>249</v>
      </c>
      <c r="C128" s="6">
        <v>40360</v>
      </c>
      <c r="D128" s="3">
        <v>29.31</v>
      </c>
      <c r="E128" s="3">
        <v>1027.37</v>
      </c>
      <c r="F128" s="4"/>
      <c r="G128" s="6">
        <v>40546</v>
      </c>
      <c r="H128" s="71">
        <v>36.52</v>
      </c>
      <c r="I128" s="72">
        <v>1271.89</v>
      </c>
      <c r="J128" s="73">
        <v>0.04</v>
      </c>
      <c r="K128" s="74">
        <f>(H128+J128)/D128</f>
        <v>1.247355851245309</v>
      </c>
      <c r="L128" s="74">
        <f>I128/E128</f>
        <v>1.238005781753409</v>
      </c>
      <c r="M128" s="74">
        <f>K128-(I128/E128)+1</f>
        <v>1.0093500694919</v>
      </c>
      <c r="N128" s="74"/>
      <c r="O128" t="s" s="72">
        <v>150</v>
      </c>
      <c r="P128" s="75"/>
    </row>
    <row r="129" ht="12" customHeight="1">
      <c r="B129" t="s" s="3">
        <v>250</v>
      </c>
      <c r="C129" s="6">
        <v>40366</v>
      </c>
      <c r="D129" s="3">
        <v>11.7</v>
      </c>
      <c r="E129" s="3">
        <v>1060.27</v>
      </c>
      <c r="F129" s="4"/>
      <c r="G129" s="6">
        <v>40550</v>
      </c>
      <c r="H129" s="71">
        <v>17.78</v>
      </c>
      <c r="I129" s="72">
        <v>1271.5</v>
      </c>
      <c r="J129" s="73"/>
      <c r="K129" s="74">
        <f>(H129+J129)/D129</f>
        <v>1.51965811965812</v>
      </c>
      <c r="L129" s="74">
        <f>I129/E129</f>
        <v>1.199222839465419</v>
      </c>
      <c r="M129" s="74">
        <f>K129-(I129/E129)+1</f>
        <v>1.320435280192701</v>
      </c>
      <c r="N129" s="74"/>
      <c r="O129" t="s" s="72">
        <v>150</v>
      </c>
      <c r="P129" s="75"/>
    </row>
    <row r="130" ht="12" customHeight="1">
      <c r="B130" t="s" s="3">
        <v>251</v>
      </c>
      <c r="C130" s="6">
        <v>40371</v>
      </c>
      <c r="D130" s="3">
        <v>20.11</v>
      </c>
      <c r="E130" s="3">
        <v>1078.75</v>
      </c>
      <c r="F130" s="4"/>
      <c r="G130" s="6">
        <v>40555</v>
      </c>
      <c r="H130" s="71">
        <v>27.25</v>
      </c>
      <c r="I130" s="72">
        <v>1285.96</v>
      </c>
      <c r="J130" s="73"/>
      <c r="K130" s="74">
        <f>(H130+J130)/D130</f>
        <v>1.355047240179015</v>
      </c>
      <c r="L130" s="74">
        <f>I130/E130</f>
        <v>1.192083429895713</v>
      </c>
      <c r="M130" s="74">
        <f>K130-(I130/E130)+1</f>
        <v>1.162963810283303</v>
      </c>
      <c r="N130" s="74"/>
      <c r="O130" t="s" s="72">
        <v>150</v>
      </c>
      <c r="P130" s="75"/>
    </row>
    <row r="131" ht="12" customHeight="1">
      <c r="B131" t="s" s="3">
        <v>252</v>
      </c>
      <c r="C131" s="6">
        <v>40388</v>
      </c>
      <c r="D131" s="3">
        <v>22.4</v>
      </c>
      <c r="E131" s="3">
        <v>1101.53</v>
      </c>
      <c r="F131" s="4"/>
      <c r="G131" s="6">
        <v>40574</v>
      </c>
      <c r="H131" s="71">
        <v>27.23</v>
      </c>
      <c r="I131" s="72">
        <v>1286.12</v>
      </c>
      <c r="J131" s="73"/>
      <c r="K131" s="74">
        <f>(H131+J131)/D131</f>
        <v>1.215625</v>
      </c>
      <c r="L131" s="74">
        <f>I131/E131</f>
        <v>1.167576007916262</v>
      </c>
      <c r="M131" s="74">
        <f>K131-(I131/E131)+1</f>
        <v>1.048048992083738</v>
      </c>
      <c r="N131" s="74"/>
      <c r="O131" t="s" s="72">
        <v>208</v>
      </c>
      <c r="P131" s="75"/>
    </row>
    <row r="132" ht="12" customHeight="1">
      <c r="B132" t="s" s="3">
        <v>253</v>
      </c>
      <c r="C132" s="6">
        <v>40456</v>
      </c>
      <c r="D132" s="3">
        <v>0.2</v>
      </c>
      <c r="E132" s="3">
        <v>1160.75</v>
      </c>
      <c r="F132" s="4"/>
      <c r="G132" s="6">
        <v>40638</v>
      </c>
      <c r="H132" s="71">
        <v>0.62</v>
      </c>
      <c r="I132" s="72">
        <v>1332.63</v>
      </c>
      <c r="J132" s="73"/>
      <c r="K132" s="74">
        <f>(H132+J132)/D132</f>
        <v>3.1</v>
      </c>
      <c r="L132" s="74">
        <f>I132/E132</f>
        <v>1.14807667456386</v>
      </c>
      <c r="M132" s="74">
        <f>K132-(I132/E132)+1</f>
        <v>2.95192332543614</v>
      </c>
      <c r="N132" s="74"/>
      <c r="O132" t="s" s="72">
        <v>150</v>
      </c>
      <c r="P132" s="75"/>
    </row>
    <row r="133" ht="12" customHeight="1">
      <c r="B133" t="s" s="3">
        <v>254</v>
      </c>
      <c r="C133" s="6">
        <v>40490</v>
      </c>
      <c r="D133" s="3">
        <v>16.2</v>
      </c>
      <c r="E133" s="3">
        <v>1223.25</v>
      </c>
      <c r="F133" s="4"/>
      <c r="G133" s="6">
        <v>40672</v>
      </c>
      <c r="H133" s="71">
        <v>17.21</v>
      </c>
      <c r="I133" s="72">
        <v>1346.29</v>
      </c>
      <c r="J133" s="73"/>
      <c r="K133" s="74">
        <f>(H133+J133)/D133</f>
        <v>1.062345679012346</v>
      </c>
      <c r="L133" s="74">
        <f>I133/E133</f>
        <v>1.100584508481504</v>
      </c>
      <c r="M133" s="74">
        <f>K133-(I133/E133)+1</f>
        <v>0.9617611705308415</v>
      </c>
      <c r="N133" s="74"/>
      <c r="O133" t="s" s="72">
        <v>150</v>
      </c>
      <c r="P133" t="s" s="75">
        <v>255</v>
      </c>
    </row>
    <row r="134" ht="12" customHeight="1">
      <c r="B134" t="s" s="3">
        <v>87</v>
      </c>
      <c r="C134" s="6">
        <v>40487</v>
      </c>
      <c r="D134" s="3">
        <v>38</v>
      </c>
      <c r="E134" s="3">
        <v>1225.85</v>
      </c>
      <c r="F134" s="4"/>
      <c r="G134" s="6">
        <v>40668</v>
      </c>
      <c r="H134" s="71">
        <v>65.20999999999999</v>
      </c>
      <c r="I134" s="72">
        <v>1335.1</v>
      </c>
      <c r="J134" s="73"/>
      <c r="K134" s="74">
        <f>(H134+J134)/D134</f>
        <v>1.716052631578947</v>
      </c>
      <c r="L134" s="74">
        <f>I134/E134</f>
        <v>1.089121833829588</v>
      </c>
      <c r="M134" s="74">
        <f>K134-(I134/E134)+1</f>
        <v>1.62693079774936</v>
      </c>
      <c r="N134" s="74"/>
      <c r="O134" t="s" s="72">
        <v>150</v>
      </c>
      <c r="P134" s="75"/>
    </row>
    <row r="135" ht="22.65" customHeight="1">
      <c r="B135" t="s" s="3">
        <v>256</v>
      </c>
      <c r="C135" s="6">
        <v>40529</v>
      </c>
      <c r="D135" s="3">
        <v>25.05</v>
      </c>
      <c r="E135" s="3">
        <v>1243.91</v>
      </c>
      <c r="F135" s="4"/>
      <c r="G135" s="6">
        <v>40711</v>
      </c>
      <c r="H135" s="71">
        <v>24.78</v>
      </c>
      <c r="I135" s="72">
        <v>1271.5</v>
      </c>
      <c r="J135" s="73"/>
      <c r="K135" s="74">
        <f>(H135+J135)/D135</f>
        <v>0.9892215568862276</v>
      </c>
      <c r="L135" s="74">
        <f>I135/E135</f>
        <v>1.022180061258451</v>
      </c>
      <c r="M135" s="74">
        <f>K135-(I135/E135)+1</f>
        <v>0.9670414956277765</v>
      </c>
      <c r="N135" s="74"/>
      <c r="O135" t="s" s="72">
        <v>150</v>
      </c>
      <c r="P135" t="s" s="75">
        <v>257</v>
      </c>
    </row>
    <row r="136" ht="12" customHeight="1">
      <c r="B136" t="s" s="3">
        <v>258</v>
      </c>
      <c r="C136" s="6">
        <v>40563</v>
      </c>
      <c r="D136" s="3">
        <v>12.99</v>
      </c>
      <c r="E136" s="3">
        <v>1280.26</v>
      </c>
      <c r="F136" s="4"/>
      <c r="G136" s="6">
        <v>40744</v>
      </c>
      <c r="H136" s="71">
        <v>6.88</v>
      </c>
      <c r="I136" s="72">
        <v>1325.84</v>
      </c>
      <c r="J136" s="73"/>
      <c r="K136" s="74">
        <f>(H136+J136)/D136</f>
        <v>0.5296381832178598</v>
      </c>
      <c r="L136" s="74">
        <f>I136/E136</f>
        <v>1.035602143314639</v>
      </c>
      <c r="M136" s="74">
        <f>K136-(I136/E136)+1</f>
        <v>0.4940360399032206</v>
      </c>
      <c r="N136" s="74"/>
      <c r="O136" t="s" s="72">
        <v>150</v>
      </c>
      <c r="P136" s="75"/>
    </row>
    <row r="137" ht="12" customHeight="1">
      <c r="B137" t="s" s="3">
        <v>259</v>
      </c>
      <c r="C137" s="6">
        <v>40633</v>
      </c>
      <c r="D137" s="3">
        <v>41.5</v>
      </c>
      <c r="E137" s="3">
        <v>1325.83</v>
      </c>
      <c r="F137" s="4"/>
      <c r="G137" s="6">
        <v>40816</v>
      </c>
      <c r="H137" s="71">
        <v>24.33</v>
      </c>
      <c r="I137" s="72">
        <v>1131.42</v>
      </c>
      <c r="J137" s="73"/>
      <c r="K137" s="74">
        <f>(H137+J137)/D137</f>
        <v>0.5862650602409638</v>
      </c>
      <c r="L137" s="74">
        <f>I137/E137</f>
        <v>0.8533673246192952</v>
      </c>
      <c r="M137" s="74">
        <f>K137-(I137/E137)+1</f>
        <v>0.7328977356216686</v>
      </c>
      <c r="N137" s="74"/>
      <c r="O137" t="s" s="72">
        <v>150</v>
      </c>
      <c r="P137" s="75"/>
    </row>
    <row r="138" ht="12" customHeight="1">
      <c r="B138" t="s" s="3">
        <v>260</v>
      </c>
      <c r="C138" s="6">
        <v>40641</v>
      </c>
      <c r="D138" s="3">
        <v>24.21</v>
      </c>
      <c r="E138" s="3">
        <v>1328.17</v>
      </c>
      <c r="F138" s="4"/>
      <c r="G138" s="6">
        <v>40826</v>
      </c>
      <c r="H138" s="71">
        <v>23.51</v>
      </c>
      <c r="I138" s="72">
        <v>1194.89</v>
      </c>
      <c r="J138" s="73">
        <v>1.07</v>
      </c>
      <c r="K138" s="74">
        <f>(H138+J138)/D138</f>
        <v>1.015282940933499</v>
      </c>
      <c r="L138" s="74">
        <f>I138/E138</f>
        <v>0.8996514000466808</v>
      </c>
      <c r="M138" s="74">
        <f>K138-(I138/E138)+1</f>
        <v>1.115631540886818</v>
      </c>
      <c r="N138" s="74"/>
      <c r="O138" t="s" s="72">
        <v>208</v>
      </c>
      <c r="P138" s="75"/>
    </row>
    <row r="139" ht="12" customHeight="1">
      <c r="B139" t="s" s="3">
        <v>261</v>
      </c>
      <c r="C139" s="6">
        <v>40647</v>
      </c>
      <c r="D139" s="3">
        <v>11</v>
      </c>
      <c r="E139" s="3">
        <v>1314.52</v>
      </c>
      <c r="F139" s="4"/>
      <c r="G139" s="6">
        <v>40830</v>
      </c>
      <c r="H139" s="71">
        <v>9.460000000000001</v>
      </c>
      <c r="I139" s="72">
        <v>1224.58</v>
      </c>
      <c r="J139" s="73">
        <v>0.15</v>
      </c>
      <c r="K139" s="74">
        <f>(H139+J139)/D139</f>
        <v>0.8736363636363638</v>
      </c>
      <c r="L139" s="74">
        <f>I139/E139</f>
        <v>0.9315795879864893</v>
      </c>
      <c r="M139" s="74">
        <f>K139-(I139/E139)+1</f>
        <v>0.9420567756498744</v>
      </c>
      <c r="N139" s="74"/>
      <c r="O139" t="s" s="72">
        <v>208</v>
      </c>
      <c r="P139" s="75"/>
    </row>
    <row r="140" ht="12" customHeight="1">
      <c r="B140" t="s" s="3">
        <v>262</v>
      </c>
      <c r="C140" s="6">
        <v>40653</v>
      </c>
      <c r="D140" s="3">
        <v>23.5</v>
      </c>
      <c r="E140" s="3">
        <v>1330.36</v>
      </c>
      <c r="F140" s="4"/>
      <c r="G140" s="6">
        <v>40836</v>
      </c>
      <c r="H140" s="71">
        <v>25.16</v>
      </c>
      <c r="I140" s="72">
        <v>1215.39</v>
      </c>
      <c r="J140" s="73">
        <v>0.24</v>
      </c>
      <c r="K140" s="74">
        <f>(H140+J140)/D140</f>
        <v>1.080851063829787</v>
      </c>
      <c r="L140" s="74">
        <f>I140/E140</f>
        <v>0.9135797829159026</v>
      </c>
      <c r="M140" s="74">
        <f>K140-(I140/E140)+1</f>
        <v>1.167271280913885</v>
      </c>
      <c r="N140" s="74"/>
      <c r="O140" t="s" s="72">
        <v>208</v>
      </c>
      <c r="P140" s="75"/>
    </row>
    <row r="141" ht="12" customHeight="1">
      <c r="B141" t="s" s="3">
        <v>263</v>
      </c>
      <c r="C141" s="6">
        <v>40689</v>
      </c>
      <c r="D141" s="3">
        <v>12.54</v>
      </c>
      <c r="E141" s="3">
        <v>1325.69</v>
      </c>
      <c r="F141" s="4"/>
      <c r="G141" s="6">
        <v>40875</v>
      </c>
      <c r="H141" s="71">
        <v>7.09</v>
      </c>
      <c r="I141" s="72">
        <v>1192.55</v>
      </c>
      <c r="J141" s="73"/>
      <c r="K141" s="74">
        <f>(H141+J141)/D141</f>
        <v>0.565390749601276</v>
      </c>
      <c r="L141" s="74">
        <f>I141/E141</f>
        <v>0.8995692809027751</v>
      </c>
      <c r="M141" s="74">
        <f>K141-(I141/E141)+1</f>
        <v>0.6658214686985009</v>
      </c>
      <c r="N141" s="74"/>
      <c r="O141" t="s" s="72">
        <v>208</v>
      </c>
      <c r="P141" s="75"/>
    </row>
    <row r="142" ht="12" customHeight="1">
      <c r="B142" t="s" s="3">
        <v>264</v>
      </c>
      <c r="C142" s="6">
        <v>40710</v>
      </c>
      <c r="D142" s="3">
        <v>35.49</v>
      </c>
      <c r="E142" s="3">
        <v>1267.64</v>
      </c>
      <c r="F142" s="4"/>
      <c r="G142" s="6">
        <v>40893</v>
      </c>
      <c r="H142" s="71">
        <v>36.49</v>
      </c>
      <c r="I142" s="72">
        <v>1219.66</v>
      </c>
      <c r="J142" s="73"/>
      <c r="K142" s="74">
        <f>(H142+J142)/D142</f>
        <v>1.028176951253874</v>
      </c>
      <c r="L142" s="74">
        <f>I142/E142</f>
        <v>0.9621501372629453</v>
      </c>
      <c r="M142" s="74">
        <f>K142-(I142/E142)+1</f>
        <v>1.066026813990929</v>
      </c>
      <c r="N142" s="74"/>
      <c r="O142" t="s" s="72">
        <v>150</v>
      </c>
      <c r="P142" s="75"/>
    </row>
    <row r="143" ht="12" customHeight="1">
      <c r="B143" t="s" s="3">
        <v>100</v>
      </c>
      <c r="C143" s="6">
        <v>40717</v>
      </c>
      <c r="D143" s="3">
        <v>39</v>
      </c>
      <c r="E143" s="3">
        <v>1283.5</v>
      </c>
      <c r="F143" s="4"/>
      <c r="G143" s="6">
        <v>40900</v>
      </c>
      <c r="H143" s="71">
        <v>33.53</v>
      </c>
      <c r="I143" s="72">
        <v>1265.33</v>
      </c>
      <c r="J143" s="73"/>
      <c r="K143" s="74">
        <f>(H143+J143)/D143</f>
        <v>0.8597435897435898</v>
      </c>
      <c r="L143" s="74">
        <f>I143/E143</f>
        <v>0.9858433969614335</v>
      </c>
      <c r="M143" s="74">
        <f>K143-(I143/E143)+1</f>
        <v>0.8739001927821562</v>
      </c>
      <c r="N143" s="74"/>
      <c r="O143" t="s" s="72">
        <v>150</v>
      </c>
      <c r="P143" s="75"/>
    </row>
    <row r="144" ht="12" customHeight="1">
      <c r="B144" t="s" s="3">
        <v>265</v>
      </c>
      <c r="C144" s="6">
        <v>40745</v>
      </c>
      <c r="D144" s="3">
        <v>17</v>
      </c>
      <c r="E144" s="3">
        <v>1343.8</v>
      </c>
      <c r="F144" s="4"/>
      <c r="G144" s="6">
        <v>40931</v>
      </c>
      <c r="H144" s="71">
        <v>13.84</v>
      </c>
      <c r="I144" s="72">
        <v>1316</v>
      </c>
      <c r="J144" s="73"/>
      <c r="K144" s="74">
        <f>(H144+J144)/D144</f>
        <v>0.8141176470588235</v>
      </c>
      <c r="L144" s="74">
        <f>I144/E144</f>
        <v>0.979312397678226</v>
      </c>
      <c r="M144" s="74">
        <f>K144-(I144/E144)+1</f>
        <v>0.8348052493805975</v>
      </c>
      <c r="N144" s="74"/>
      <c r="O144" t="s" s="72">
        <v>208</v>
      </c>
      <c r="P144" s="75"/>
    </row>
    <row r="145" ht="12" customHeight="1">
      <c r="B145" t="s" s="3">
        <v>266</v>
      </c>
      <c r="C145" s="6">
        <v>40802</v>
      </c>
      <c r="D145" s="3">
        <v>12.7</v>
      </c>
      <c r="E145" s="3">
        <v>1216.01</v>
      </c>
      <c r="F145" s="4"/>
      <c r="G145" s="6">
        <v>40984</v>
      </c>
      <c r="H145" s="71">
        <v>21.41</v>
      </c>
      <c r="I145" s="72">
        <v>1404.17</v>
      </c>
      <c r="J145" s="73"/>
      <c r="K145" s="74">
        <f>(H145+J145)/D145</f>
        <v>1.685826771653543</v>
      </c>
      <c r="L145" s="74">
        <f>I145/E145</f>
        <v>1.154735569608803</v>
      </c>
      <c r="M145" s="74">
        <f>K145-(I145/E145)+1</f>
        <v>1.531091202044741</v>
      </c>
      <c r="N145" s="74"/>
      <c r="O145" t="s" s="72">
        <v>150</v>
      </c>
      <c r="P145" s="75"/>
    </row>
    <row r="146" ht="12" customHeight="1">
      <c r="B146" t="s" s="3">
        <v>267</v>
      </c>
      <c r="C146" s="6">
        <v>40809</v>
      </c>
      <c r="D146" s="3">
        <v>68.05</v>
      </c>
      <c r="E146" s="3">
        <v>1136.43</v>
      </c>
      <c r="F146" s="4"/>
      <c r="G146" s="6">
        <v>40991</v>
      </c>
      <c r="H146" s="71">
        <v>88.26000000000001</v>
      </c>
      <c r="I146" s="72">
        <v>1397.11</v>
      </c>
      <c r="J146" s="73"/>
      <c r="K146" s="74">
        <f>(H146+J146)/D146</f>
        <v>1.296987509184423</v>
      </c>
      <c r="L146" s="74">
        <f>I146/E146</f>
        <v>1.229385003915771</v>
      </c>
      <c r="M146" s="74">
        <f>K146-(I146/E146)+1</f>
        <v>1.067602505268652</v>
      </c>
      <c r="N146" s="74"/>
      <c r="O146" t="s" s="72">
        <v>182</v>
      </c>
      <c r="P146" t="s" s="75">
        <v>268</v>
      </c>
    </row>
    <row r="147" ht="12" customHeight="1">
      <c r="B147" t="s" s="3">
        <v>75</v>
      </c>
      <c r="C147" s="6">
        <v>40809</v>
      </c>
      <c r="D147" s="3">
        <v>70.06</v>
      </c>
      <c r="E147" s="3">
        <v>1136.43</v>
      </c>
      <c r="F147" s="4"/>
      <c r="G147" s="6">
        <v>40991</v>
      </c>
      <c r="H147" s="71">
        <f>0.88129*88.26</f>
        <v>77.78265540000001</v>
      </c>
      <c r="I147" s="72">
        <v>1397.11</v>
      </c>
      <c r="J147" s="73"/>
      <c r="K147" s="74">
        <f>(H147+J147)/D147</f>
        <v>1.110229166428775</v>
      </c>
      <c r="L147" s="74">
        <f>I147/E147</f>
        <v>1.229385003915771</v>
      </c>
      <c r="M147" s="74">
        <f>K147-(I147/E147)+1</f>
        <v>0.8808441625130041</v>
      </c>
      <c r="N147" s="74"/>
      <c r="O147" t="s" s="72">
        <v>182</v>
      </c>
      <c r="P147" t="s" s="75">
        <v>269</v>
      </c>
    </row>
    <row r="148" ht="12" customHeight="1">
      <c r="B148" t="s" s="3">
        <v>270</v>
      </c>
      <c r="C148" s="6">
        <v>40829</v>
      </c>
      <c r="D148" s="3">
        <v>24.25</v>
      </c>
      <c r="E148" s="3">
        <v>1203.66</v>
      </c>
      <c r="F148" s="4"/>
      <c r="G148" s="6">
        <v>41012</v>
      </c>
      <c r="H148" s="71">
        <v>26.83</v>
      </c>
      <c r="I148" s="72">
        <v>1370.26</v>
      </c>
      <c r="J148" s="73">
        <f>0.2</f>
        <v>0.2</v>
      </c>
      <c r="K148" s="74">
        <f>(H148+J148)/D148</f>
        <v>1.114639175257732</v>
      </c>
      <c r="L148" s="74">
        <f>I148/E148</f>
        <v>1.138411179236661</v>
      </c>
      <c r="M148" s="74">
        <f>K148-(I148/E148)+1</f>
        <v>0.9762279960210705</v>
      </c>
      <c r="N148" s="74"/>
      <c r="O148" t="s" s="72">
        <v>150</v>
      </c>
      <c r="P148" s="75"/>
    </row>
    <row r="149" ht="12" customHeight="1">
      <c r="B149" t="s" s="3">
        <v>271</v>
      </c>
      <c r="C149" s="6">
        <v>40829</v>
      </c>
      <c r="D149" s="3">
        <v>11.5</v>
      </c>
      <c r="E149" s="3">
        <v>1203.66</v>
      </c>
      <c r="F149" s="4"/>
      <c r="G149" s="6">
        <v>41012</v>
      </c>
      <c r="H149" s="71">
        <v>11.53</v>
      </c>
      <c r="I149" s="72">
        <v>1370.26</v>
      </c>
      <c r="J149" s="73">
        <v>0.2</v>
      </c>
      <c r="K149" s="74">
        <f>(H149+J149)/D149</f>
        <v>1.02</v>
      </c>
      <c r="L149" s="74">
        <f>I149/E149</f>
        <v>1.138411179236661</v>
      </c>
      <c r="M149" s="74">
        <f>K149-(I149/E149)+1</f>
        <v>0.8815888207633384</v>
      </c>
      <c r="N149" s="74"/>
      <c r="O149" t="s" s="72">
        <v>150</v>
      </c>
      <c r="P149" s="75"/>
    </row>
    <row r="150" ht="12" customHeight="1">
      <c r="B150" t="s" s="3">
        <v>272</v>
      </c>
      <c r="C150" s="6">
        <v>40842</v>
      </c>
      <c r="D150" s="3">
        <v>8.6</v>
      </c>
      <c r="E150" s="3">
        <v>1242</v>
      </c>
      <c r="F150" s="4"/>
      <c r="G150" s="6">
        <v>41025</v>
      </c>
      <c r="H150" s="71">
        <v>8.869999999999999</v>
      </c>
      <c r="I150" s="72">
        <v>1399.98</v>
      </c>
      <c r="J150" s="73">
        <v>0.08</v>
      </c>
      <c r="K150" s="74">
        <f>(H150+J150)/D150</f>
        <v>1.040697674418605</v>
      </c>
      <c r="L150" s="74">
        <f>I150/E150</f>
        <v>1.12719806763285</v>
      </c>
      <c r="M150" s="74">
        <f>K150-(I150/E150)+1</f>
        <v>0.9134996067857541</v>
      </c>
      <c r="N150" s="74"/>
      <c r="O150" t="s" s="72">
        <v>150</v>
      </c>
      <c r="P150" s="75"/>
    </row>
    <row r="151" ht="12" customHeight="1">
      <c r="B151" t="s" s="3">
        <v>273</v>
      </c>
      <c r="C151" s="6">
        <v>40847</v>
      </c>
      <c r="D151" s="3">
        <v>11.1</v>
      </c>
      <c r="E151" s="3">
        <v>1253</v>
      </c>
      <c r="F151" s="4"/>
      <c r="G151" s="6">
        <v>41029</v>
      </c>
      <c r="H151" s="71">
        <v>9.039999999999999</v>
      </c>
      <c r="I151" s="72">
        <v>1397.91</v>
      </c>
      <c r="J151" s="73">
        <v>0.28</v>
      </c>
      <c r="K151" s="74">
        <f>(H151+J151)/D151</f>
        <v>0.8396396396396395</v>
      </c>
      <c r="L151" s="74">
        <f>I151/E151</f>
        <v>1.115650438946528</v>
      </c>
      <c r="M151" s="74">
        <f>K151-(I151/E151)+1</f>
        <v>0.723989200693111</v>
      </c>
      <c r="N151" s="74"/>
      <c r="O151" t="s" s="72">
        <v>150</v>
      </c>
      <c r="P151" s="75"/>
    </row>
    <row r="152" ht="12" customHeight="1">
      <c r="B152" t="s" s="3">
        <v>274</v>
      </c>
      <c r="C152" s="6">
        <v>40855</v>
      </c>
      <c r="D152" s="3">
        <v>17.99</v>
      </c>
      <c r="E152" s="3">
        <v>1275.92</v>
      </c>
      <c r="F152" s="4"/>
      <c r="G152" s="6">
        <v>40671</v>
      </c>
      <c r="H152" s="71">
        <v>29.71</v>
      </c>
      <c r="I152" s="72">
        <v>1363.72</v>
      </c>
      <c r="J152" s="73">
        <v>0</v>
      </c>
      <c r="K152" s="74">
        <f>(H152+J152)/D152</f>
        <v>1.651473040578099</v>
      </c>
      <c r="L152" s="74">
        <f>I152/E152</f>
        <v>1.068813091729889</v>
      </c>
      <c r="M152" s="74">
        <f>K152-(I152/E152)+1</f>
        <v>1.58265994884821</v>
      </c>
      <c r="N152" s="74"/>
      <c r="O152" t="s" s="72">
        <v>150</v>
      </c>
      <c r="P152" s="75"/>
    </row>
    <row r="153" ht="12" customHeight="1">
      <c r="B153" t="s" s="3">
        <v>275</v>
      </c>
      <c r="C153" s="6">
        <v>40858</v>
      </c>
      <c r="D153" s="3">
        <v>18.87</v>
      </c>
      <c r="E153" s="3">
        <v>1263.85</v>
      </c>
      <c r="F153" s="4"/>
      <c r="G153" s="6">
        <v>40674</v>
      </c>
      <c r="H153" s="71">
        <v>21.27</v>
      </c>
      <c r="I153" s="72">
        <v>1353.39</v>
      </c>
      <c r="J153" s="73">
        <f>0.58+0.73</f>
        <v>1.31</v>
      </c>
      <c r="K153" s="74">
        <f>(H153+J153)/D153</f>
        <v>1.196608373078961</v>
      </c>
      <c r="L153" s="74">
        <f>I153/E153</f>
        <v>1.070847015072991</v>
      </c>
      <c r="M153" s="74">
        <f>K153-(I153/E153)+1</f>
        <v>1.12576135800597</v>
      </c>
      <c r="N153" s="74"/>
      <c r="O153" t="s" s="72">
        <v>208</v>
      </c>
      <c r="P153" s="75"/>
    </row>
    <row r="154" ht="12" customHeight="1">
      <c r="B154" t="s" s="3">
        <v>276</v>
      </c>
      <c r="C154" s="6">
        <v>40899</v>
      </c>
      <c r="D154" s="3">
        <v>27.12</v>
      </c>
      <c r="E154" s="3">
        <v>1254</v>
      </c>
      <c r="F154" s="4"/>
      <c r="G154" s="6">
        <v>41082</v>
      </c>
      <c r="H154" s="71">
        <v>45.53</v>
      </c>
      <c r="I154" s="72">
        <v>1335.02</v>
      </c>
      <c r="J154" s="73"/>
      <c r="K154" s="74">
        <f>(H154+J154)/D154</f>
        <v>1.678834808259587</v>
      </c>
      <c r="L154" s="74">
        <f>I154/E154</f>
        <v>1.064609250398724</v>
      </c>
      <c r="M154" s="74">
        <f>K154-(I154/E154)+1</f>
        <v>1.614225557860863</v>
      </c>
      <c r="N154" s="74"/>
      <c r="O154" t="s" s="72">
        <v>150</v>
      </c>
      <c r="P154" s="75"/>
    </row>
    <row r="155" ht="12" customHeight="1">
      <c r="B155" t="s" s="3">
        <v>277</v>
      </c>
      <c r="C155" s="6">
        <v>40886</v>
      </c>
      <c r="D155" s="3">
        <v>20.5</v>
      </c>
      <c r="E155" s="3">
        <v>1255.19</v>
      </c>
      <c r="F155" s="4"/>
      <c r="G155" s="6">
        <v>41071</v>
      </c>
      <c r="H155" s="71">
        <v>23.59</v>
      </c>
      <c r="I155" s="72">
        <v>1308.93</v>
      </c>
      <c r="J155" s="73">
        <v>0.44</v>
      </c>
      <c r="K155" s="74">
        <f>(H155+J155)/D155</f>
        <v>1.17219512195122</v>
      </c>
      <c r="L155" s="74">
        <f>I155/E155</f>
        <v>1.042814235295055</v>
      </c>
      <c r="M155" s="74">
        <f>K155-(I155/E155)+1</f>
        <v>1.129380886656165</v>
      </c>
      <c r="N155" s="74"/>
      <c r="O155" t="s" s="72">
        <v>208</v>
      </c>
      <c r="P155" s="75"/>
    </row>
    <row r="156" ht="12" customHeight="1">
      <c r="B156" t="s" s="3">
        <v>278</v>
      </c>
      <c r="C156" s="6">
        <v>40911</v>
      </c>
      <c r="D156" s="3">
        <v>18.1</v>
      </c>
      <c r="E156" s="3">
        <v>1277.06</v>
      </c>
      <c r="F156" s="4"/>
      <c r="G156" s="6">
        <v>41093</v>
      </c>
      <c r="H156" s="71">
        <v>15.69</v>
      </c>
      <c r="I156" s="72">
        <v>1374.02</v>
      </c>
      <c r="J156" s="73"/>
      <c r="K156" s="74">
        <f>(H156+J156)/D156</f>
        <v>0.8668508287292817</v>
      </c>
      <c r="L156" s="74">
        <f>I156/E156</f>
        <v>1.075924388830595</v>
      </c>
      <c r="M156" s="74">
        <f>K156-(I156/E156)+1</f>
        <v>0.7909264398986863</v>
      </c>
      <c r="N156" s="74"/>
      <c r="O156" t="s" s="72">
        <v>150</v>
      </c>
      <c r="P156" s="75"/>
    </row>
    <row r="157" ht="12" customHeight="1">
      <c r="B157" t="s" s="3">
        <v>279</v>
      </c>
      <c r="C157" s="6">
        <v>40911</v>
      </c>
      <c r="D157" s="3">
        <v>23.3</v>
      </c>
      <c r="E157" s="3">
        <v>1277.06</v>
      </c>
      <c r="F157" s="4"/>
      <c r="G157" s="6">
        <v>41093</v>
      </c>
      <c r="H157" s="71">
        <v>15.76</v>
      </c>
      <c r="I157" s="72">
        <v>1374.02</v>
      </c>
      <c r="J157" s="73"/>
      <c r="K157" s="74">
        <f>(H157+J157)/D157</f>
        <v>0.6763948497854076</v>
      </c>
      <c r="L157" s="74">
        <f>I157/E157</f>
        <v>1.075924388830595</v>
      </c>
      <c r="M157" s="74">
        <f>K157-(I157/E157)+1</f>
        <v>0.6004704609548123</v>
      </c>
      <c r="N157" s="74"/>
      <c r="O157" t="s" s="72">
        <v>150</v>
      </c>
      <c r="P157" s="75"/>
    </row>
    <row r="158" ht="12" customHeight="1">
      <c r="B158" t="s" s="3">
        <v>280</v>
      </c>
      <c r="C158" s="6">
        <v>40893</v>
      </c>
      <c r="D158" s="3">
        <v>17.65</v>
      </c>
      <c r="E158" s="3">
        <v>1219.66</v>
      </c>
      <c r="F158" s="4"/>
      <c r="G158" s="6">
        <v>41078</v>
      </c>
      <c r="H158" s="71">
        <v>19.51</v>
      </c>
      <c r="I158" s="72">
        <v>1344.78</v>
      </c>
      <c r="J158" s="73">
        <v>0.41</v>
      </c>
      <c r="K158" s="74">
        <f>(H158+J158)/D158</f>
        <v>1.128611898016997</v>
      </c>
      <c r="L158" s="74">
        <f>I158/E158</f>
        <v>1.10258596658085</v>
      </c>
      <c r="M158" s="74">
        <f>K158-(I158/E158)+1</f>
        <v>1.026025931436147</v>
      </c>
      <c r="N158" s="74"/>
      <c r="O158" t="s" s="72">
        <v>154</v>
      </c>
      <c r="P158" s="75"/>
    </row>
    <row r="159" ht="12" customHeight="1">
      <c r="B159" t="s" s="3">
        <v>281</v>
      </c>
      <c r="C159" s="6">
        <v>40926</v>
      </c>
      <c r="D159" s="3">
        <v>10.88</v>
      </c>
      <c r="E159" s="3">
        <v>1308.04</v>
      </c>
      <c r="F159" s="4"/>
      <c r="G159" s="6">
        <v>41108</v>
      </c>
      <c r="H159" s="71">
        <v>13.96</v>
      </c>
      <c r="I159" s="72">
        <v>1372.78</v>
      </c>
      <c r="J159" s="73">
        <v>0.07000000000000001</v>
      </c>
      <c r="K159" s="74">
        <f>(H159+J159)/D159</f>
        <v>1.289522058823529</v>
      </c>
      <c r="L159" s="74">
        <f>I159/E159</f>
        <v>1.049493899269136</v>
      </c>
      <c r="M159" s="74">
        <f>K159-(I159/E159)+1</f>
        <v>1.240028159554394</v>
      </c>
      <c r="N159" s="74"/>
      <c r="O159" t="s" s="72">
        <v>150</v>
      </c>
      <c r="P159" s="75"/>
    </row>
    <row r="160" ht="12" customHeight="1">
      <c r="B160" t="s" s="3">
        <v>265</v>
      </c>
      <c r="C160" s="6">
        <v>40925</v>
      </c>
      <c r="D160" s="3">
        <v>13.4</v>
      </c>
      <c r="E160" s="3">
        <v>1293.67</v>
      </c>
      <c r="F160" s="4"/>
      <c r="G160" s="6">
        <v>41107</v>
      </c>
      <c r="H160" s="71">
        <v>14.92</v>
      </c>
      <c r="I160" s="72">
        <v>1363.67</v>
      </c>
      <c r="J160" s="73"/>
      <c r="K160" s="74">
        <f>(H160+J160)/D160</f>
        <v>1.113432835820896</v>
      </c>
      <c r="L160" s="74">
        <f>I160/E160</f>
        <v>1.054109626102484</v>
      </c>
      <c r="M160" s="74">
        <f>K160-(I160/E160)+1</f>
        <v>1.059323209718412</v>
      </c>
      <c r="N160" s="74"/>
      <c r="O160" t="s" s="72">
        <v>150</v>
      </c>
      <c r="P160" s="75"/>
    </row>
    <row r="161" ht="12" customHeight="1">
      <c r="B161" t="s" s="3">
        <v>282</v>
      </c>
      <c r="C161" s="6">
        <v>40982</v>
      </c>
      <c r="D161" s="3">
        <v>22.49</v>
      </c>
      <c r="E161" s="3">
        <v>1394.28</v>
      </c>
      <c r="F161" s="4"/>
      <c r="G161" s="6">
        <v>41166</v>
      </c>
      <c r="H161" s="71">
        <v>25.92</v>
      </c>
      <c r="I161" s="72">
        <v>1465.77</v>
      </c>
      <c r="J161" s="73">
        <f>0.12+0.4</f>
        <v>0.52</v>
      </c>
      <c r="K161" s="74">
        <f>(H161+J161)/D161</f>
        <v>1.175633614939974</v>
      </c>
      <c r="L161" s="74">
        <f>I161/E161</f>
        <v>1.051273775712195</v>
      </c>
      <c r="M161" s="74">
        <f>K161-(I161/E161)+1</f>
        <v>1.124359839227778</v>
      </c>
      <c r="N161" s="74"/>
      <c r="O161" t="s" s="72">
        <v>154</v>
      </c>
      <c r="P161" t="s" s="75">
        <v>283</v>
      </c>
    </row>
    <row r="162" ht="12" customHeight="1">
      <c r="B162" t="s" s="3">
        <v>284</v>
      </c>
      <c r="C162" s="6">
        <v>40968</v>
      </c>
      <c r="D162" s="3">
        <v>13.56</v>
      </c>
      <c r="E162" s="3">
        <v>1365.68</v>
      </c>
      <c r="F162" s="4"/>
      <c r="G162" s="6">
        <v>41150</v>
      </c>
      <c r="H162" s="71">
        <v>16.15</v>
      </c>
      <c r="I162" s="72">
        <v>1410.49</v>
      </c>
      <c r="J162" s="73">
        <f>0.08+0.5</f>
        <v>0.58</v>
      </c>
      <c r="K162" s="74">
        <f>(H162+J162)/D162</f>
        <v>1.233775811209439</v>
      </c>
      <c r="L162" s="74">
        <f>I162/E162</f>
        <v>1.032811493175561</v>
      </c>
      <c r="M162" s="74">
        <f>K162-(I162/E162)+1</f>
        <v>1.200964318033878</v>
      </c>
      <c r="N162" s="74"/>
      <c r="O162" t="s" s="72">
        <v>154</v>
      </c>
      <c r="P162" s="75"/>
    </row>
    <row r="163" ht="12" customHeight="1">
      <c r="B163" t="s" s="3">
        <v>285</v>
      </c>
      <c r="C163" s="6">
        <v>40990</v>
      </c>
      <c r="D163" s="3">
        <v>19.5</v>
      </c>
      <c r="E163" s="3">
        <v>1392.78</v>
      </c>
      <c r="F163" s="4"/>
      <c r="G163" s="6">
        <v>41176</v>
      </c>
      <c r="H163" s="71">
        <v>23.1</v>
      </c>
      <c r="I163" s="72">
        <v>1456.89</v>
      </c>
      <c r="J163" s="73"/>
      <c r="K163" s="74">
        <f>(H163+J163)/D163</f>
        <v>1.184615384615385</v>
      </c>
      <c r="L163" s="74">
        <f>I163/E163</f>
        <v>1.046030241674924</v>
      </c>
      <c r="M163" s="74">
        <f>K163-(I163/E163)+1</f>
        <v>1.138585142940461</v>
      </c>
      <c r="N163" s="74"/>
      <c r="O163" t="s" s="72">
        <v>154</v>
      </c>
      <c r="P163" s="75"/>
    </row>
    <row r="164" ht="12" customHeight="1">
      <c r="B164" t="s" s="3">
        <v>286</v>
      </c>
      <c r="C164" s="6">
        <v>40991</v>
      </c>
      <c r="D164" s="3">
        <v>24.46</v>
      </c>
      <c r="E164" s="3">
        <v>1397.11</v>
      </c>
      <c r="F164" s="4"/>
      <c r="G164" s="6">
        <v>41176</v>
      </c>
      <c r="H164" s="71">
        <v>19.28</v>
      </c>
      <c r="I164" s="72">
        <v>1456.89</v>
      </c>
      <c r="J164" s="73">
        <f>0.95+0.89</f>
        <v>1.84</v>
      </c>
      <c r="K164" s="74">
        <f>(H164+J164)/D164</f>
        <v>0.8634505314799673</v>
      </c>
      <c r="L164" s="74">
        <f>I164/E164</f>
        <v>1.042788327332852</v>
      </c>
      <c r="M164" s="74">
        <f>K164-(I164/E164)+1</f>
        <v>0.8206622041471158</v>
      </c>
      <c r="N164" s="74"/>
      <c r="O164" t="s" s="72">
        <v>154</v>
      </c>
      <c r="P164" s="75"/>
    </row>
    <row r="165" ht="12" customHeight="1">
      <c r="B165" t="s" s="3">
        <v>287</v>
      </c>
      <c r="C165" s="6">
        <v>41017</v>
      </c>
      <c r="D165" s="3">
        <v>21.25</v>
      </c>
      <c r="E165" s="3">
        <v>1385.14</v>
      </c>
      <c r="F165" s="4"/>
      <c r="G165" s="6">
        <v>41200</v>
      </c>
      <c r="H165" s="71">
        <v>20.44</v>
      </c>
      <c r="I165" s="72">
        <v>1457.34</v>
      </c>
      <c r="J165" s="73">
        <v>0.77</v>
      </c>
      <c r="K165" s="74">
        <f>(H165+J165)/D165</f>
        <v>0.9981176470588236</v>
      </c>
      <c r="L165" s="74">
        <f>I165/E165</f>
        <v>1.052124694976681</v>
      </c>
      <c r="M165" s="74">
        <f>K165-(I165/E165)+1</f>
        <v>0.9459929520821426</v>
      </c>
      <c r="N165" s="74"/>
      <c r="O165" t="s" s="72">
        <v>154</v>
      </c>
      <c r="P165" s="75"/>
    </row>
    <row r="166" ht="12" customHeight="1">
      <c r="B166" t="s" s="3">
        <v>288</v>
      </c>
      <c r="C166" s="6">
        <v>41030</v>
      </c>
      <c r="D166" s="3">
        <v>11</v>
      </c>
      <c r="E166" s="3">
        <v>1405.82</v>
      </c>
      <c r="F166" s="4"/>
      <c r="G166" s="6">
        <v>41214</v>
      </c>
      <c r="H166" s="71">
        <v>7.61</v>
      </c>
      <c r="I166" s="72">
        <v>1427.59</v>
      </c>
      <c r="J166" s="73"/>
      <c r="K166" s="74">
        <f>(H166+J166)/D166</f>
        <v>0.6918181818181819</v>
      </c>
      <c r="L166" s="74">
        <f>I166/E166</f>
        <v>1.015485624048598</v>
      </c>
      <c r="M166" s="74">
        <f>K166-(I166/E166)+1</f>
        <v>0.676332557769584</v>
      </c>
      <c r="N166" s="74"/>
      <c r="O166" t="s" s="72">
        <v>150</v>
      </c>
      <c r="P166" s="75"/>
    </row>
    <row r="167" ht="12" customHeight="1">
      <c r="B167" t="s" s="3">
        <v>289</v>
      </c>
      <c r="C167" s="6">
        <v>41037</v>
      </c>
      <c r="D167" s="3">
        <v>11.5</v>
      </c>
      <c r="E167" s="3">
        <v>1363.72</v>
      </c>
      <c r="F167" s="4"/>
      <c r="G167" s="6">
        <v>41221</v>
      </c>
      <c r="H167" s="71">
        <v>13.46</v>
      </c>
      <c r="I167" s="72">
        <v>1377.51</v>
      </c>
      <c r="J167" s="73"/>
      <c r="K167" s="74">
        <f>(H167+J167)/D167</f>
        <v>1.170434782608696</v>
      </c>
      <c r="L167" s="74">
        <f>I167/E167</f>
        <v>1.01011204646115</v>
      </c>
      <c r="M167" s="74">
        <f>K167-(I167/E167)+1</f>
        <v>1.160322736147545</v>
      </c>
      <c r="N167" s="74"/>
      <c r="O167" t="s" s="72">
        <v>150</v>
      </c>
      <c r="P167" s="75"/>
    </row>
    <row r="168" ht="12" customHeight="1">
      <c r="B168" t="s" s="3">
        <v>290</v>
      </c>
      <c r="C168" s="6">
        <v>41030</v>
      </c>
      <c r="D168" s="3">
        <v>32.76</v>
      </c>
      <c r="E168" s="3">
        <v>1405.82</v>
      </c>
      <c r="F168" s="4"/>
      <c r="G168" s="6">
        <v>41214</v>
      </c>
      <c r="H168" s="71">
        <v>47.38</v>
      </c>
      <c r="I168" s="72">
        <v>1427.59</v>
      </c>
      <c r="J168" s="73">
        <v>0.45</v>
      </c>
      <c r="K168" s="74">
        <f>(H168+J168)/D168</f>
        <v>1.46001221001221</v>
      </c>
      <c r="L168" s="74">
        <f>I168/E168</f>
        <v>1.015485624048598</v>
      </c>
      <c r="M168" s="74">
        <f>K168-(I168/E168)+1</f>
        <v>1.444526585963612</v>
      </c>
      <c r="N168" s="74"/>
      <c r="O168" t="s" s="72">
        <v>150</v>
      </c>
      <c r="P168" s="75"/>
    </row>
    <row r="169" ht="12" customHeight="1">
      <c r="B169" t="s" s="3">
        <v>291</v>
      </c>
      <c r="C169" s="6">
        <v>41074</v>
      </c>
      <c r="D169" s="3">
        <v>26.23</v>
      </c>
      <c r="E169" s="3">
        <v>1329.1</v>
      </c>
      <c r="F169" s="4"/>
      <c r="G169" s="6">
        <v>41257</v>
      </c>
      <c r="H169" s="71">
        <v>23.89</v>
      </c>
      <c r="I169" s="72">
        <v>1413.58</v>
      </c>
      <c r="J169" s="73">
        <v>0.3</v>
      </c>
      <c r="K169" s="74">
        <f>(H169+J169)/D169</f>
        <v>0.9222264582539078</v>
      </c>
      <c r="L169" s="74">
        <f>I169/E169</f>
        <v>1.063561808742758</v>
      </c>
      <c r="M169" s="74">
        <f>K169-(I169/E169)+1</f>
        <v>0.8586646495111495</v>
      </c>
      <c r="N169" s="74"/>
      <c r="O169" t="s" s="72">
        <v>150</v>
      </c>
      <c r="P169" s="75"/>
    </row>
    <row r="170" ht="12" customHeight="1">
      <c r="B170" t="s" s="3">
        <v>292</v>
      </c>
      <c r="C170" s="6">
        <v>41087</v>
      </c>
      <c r="D170" s="3">
        <v>23.75</v>
      </c>
      <c r="E170" s="3">
        <v>1331.85</v>
      </c>
      <c r="F170" s="4"/>
      <c r="G170" s="6">
        <v>41270</v>
      </c>
      <c r="H170" s="71">
        <v>30.5</v>
      </c>
      <c r="I170" s="72">
        <v>1418.1</v>
      </c>
      <c r="J170" s="73">
        <v>0.35</v>
      </c>
      <c r="K170" s="74">
        <f>(H170+J170)/D170</f>
        <v>1.298947368421053</v>
      </c>
      <c r="L170" s="74">
        <f>I170/E170</f>
        <v>1.064759544993806</v>
      </c>
      <c r="M170" s="74">
        <f>K170-(I170/E170)+1</f>
        <v>1.234187823427247</v>
      </c>
      <c r="N170" s="74"/>
      <c r="O170" t="s" s="72">
        <v>154</v>
      </c>
      <c r="P170" s="75"/>
    </row>
    <row r="171" ht="12" customHeight="1">
      <c r="B171" t="s" s="3">
        <v>293</v>
      </c>
      <c r="C171" s="6">
        <v>41108</v>
      </c>
      <c r="D171" s="3">
        <v>17.68</v>
      </c>
      <c r="E171" s="3">
        <v>1372.78</v>
      </c>
      <c r="F171" s="4"/>
      <c r="G171" s="6">
        <v>41292</v>
      </c>
      <c r="H171" s="7">
        <v>19.98</v>
      </c>
      <c r="I171" s="76">
        <v>1485.98</v>
      </c>
      <c r="J171" s="77">
        <v>0.35</v>
      </c>
      <c r="K171" s="78">
        <f>(H171+J171)/D171</f>
        <v>1.149886877828054</v>
      </c>
      <c r="L171" s="78">
        <f>I171/E171</f>
        <v>1.08246040880549</v>
      </c>
      <c r="M171" s="78">
        <f>K171-(I171/E171)+1</f>
        <v>1.067426469022565</v>
      </c>
      <c r="N171" s="78"/>
      <c r="O171" t="s" s="76">
        <v>294</v>
      </c>
      <c r="P171" s="79"/>
    </row>
    <row r="172" ht="11.5" customHeight="1">
      <c r="B172" t="s" s="3">
        <v>295</v>
      </c>
      <c r="C172" s="6">
        <v>41150</v>
      </c>
      <c r="D172" s="3">
        <v>38.25</v>
      </c>
      <c r="E172" s="3">
        <v>1410.49</v>
      </c>
      <c r="F172" s="4"/>
      <c r="G172" s="6">
        <v>41334</v>
      </c>
      <c r="H172" s="7">
        <v>42.45</v>
      </c>
      <c r="I172" s="80">
        <v>1518.2</v>
      </c>
      <c r="J172" s="81">
        <f>0.85+0.88</f>
        <v>1.73</v>
      </c>
      <c r="K172" s="82">
        <f>(H172+J172)/D172</f>
        <v>1.155032679738562</v>
      </c>
      <c r="L172" s="82">
        <f>I172/E172</f>
        <v>1.076363533240221</v>
      </c>
      <c r="M172" s="82">
        <f>K172-(I172/E172)+1</f>
        <v>1.078669146498341</v>
      </c>
      <c r="N172" s="82"/>
      <c r="O172" t="s" s="80">
        <v>294</v>
      </c>
      <c r="P172" s="83"/>
    </row>
    <row r="173" ht="11" customHeight="1">
      <c r="B173" t="s" s="3">
        <v>296</v>
      </c>
      <c r="C173" s="6">
        <v>41169</v>
      </c>
      <c r="D173" s="3">
        <v>38.15</v>
      </c>
      <c r="E173" s="3">
        <v>1461.19</v>
      </c>
      <c r="F173" s="4"/>
      <c r="G173" s="6">
        <v>41351</v>
      </c>
      <c r="H173" s="7">
        <v>49.16</v>
      </c>
      <c r="I173" s="84">
        <v>1552.1</v>
      </c>
      <c r="J173" s="85">
        <v>0.26</v>
      </c>
      <c r="K173" s="86">
        <f>(H173+J173)/D173</f>
        <v>1.295412844036697</v>
      </c>
      <c r="L173" s="86">
        <f>I173/E173</f>
        <v>1.062216412649963</v>
      </c>
      <c r="M173" s="86">
        <f>K173-(I173/E173)+1</f>
        <v>1.233196431386734</v>
      </c>
      <c r="N173" s="84"/>
      <c r="O173" t="s" s="84">
        <v>294</v>
      </c>
      <c r="P173" s="87"/>
    </row>
    <row r="174" ht="11" customHeight="1">
      <c r="B174" t="s" s="3">
        <v>297</v>
      </c>
      <c r="C174" s="6">
        <v>41169</v>
      </c>
      <c r="D174" s="3">
        <v>45.1</v>
      </c>
      <c r="E174" s="3">
        <v>1461.19</v>
      </c>
      <c r="F174" s="4"/>
      <c r="G174" s="6">
        <v>41351</v>
      </c>
      <c r="H174" s="7">
        <v>50.65</v>
      </c>
      <c r="I174" s="84">
        <v>1552.1</v>
      </c>
      <c r="J174" s="85">
        <v>0.5</v>
      </c>
      <c r="K174" s="86">
        <f>(H174+J174)/D174</f>
        <v>1.134146341463415</v>
      </c>
      <c r="L174" s="86">
        <f>I174/E174</f>
        <v>1.062216412649963</v>
      </c>
      <c r="M174" s="86">
        <f>K174-(I174/E174)+1</f>
        <v>1.071929928813451</v>
      </c>
      <c r="N174" s="84"/>
      <c r="O174" t="s" s="84">
        <v>294</v>
      </c>
      <c r="P174" s="87"/>
    </row>
    <row r="175" ht="11" customHeight="1">
      <c r="B175" t="s" s="3">
        <v>298</v>
      </c>
      <c r="C175" s="6">
        <v>41172</v>
      </c>
      <c r="D175" s="3">
        <v>22.91</v>
      </c>
      <c r="E175" s="3">
        <v>1460.26</v>
      </c>
      <c r="F175" s="4"/>
      <c r="G175" s="6">
        <v>41353</v>
      </c>
      <c r="H175" s="7">
        <v>32.04</v>
      </c>
      <c r="I175" s="84">
        <v>1558.71</v>
      </c>
      <c r="J175" s="85">
        <v>0.47</v>
      </c>
      <c r="K175" s="86">
        <f>(H175+J175)/D175</f>
        <v>1.419030990833697</v>
      </c>
      <c r="L175" s="86">
        <f>I175/E175</f>
        <v>1.067419500636873</v>
      </c>
      <c r="M175" s="86">
        <f>K175-(I175/E175)+1</f>
        <v>1.351611490196824</v>
      </c>
      <c r="N175" s="84"/>
      <c r="O175" t="s" s="84">
        <v>294</v>
      </c>
      <c r="P175" s="87"/>
    </row>
    <row r="176" ht="11" customHeight="1">
      <c r="B176" t="s" s="3">
        <v>112</v>
      </c>
      <c r="C176" s="6">
        <v>41180</v>
      </c>
      <c r="D176" s="3">
        <v>42.73</v>
      </c>
      <c r="E176" s="3">
        <v>1440.67</v>
      </c>
      <c r="F176" s="4"/>
      <c r="G176" s="6">
        <v>41361</v>
      </c>
      <c r="H176" s="7">
        <v>57.09</v>
      </c>
      <c r="I176" s="84">
        <v>1569.19</v>
      </c>
      <c r="J176" s="85">
        <v>2.5</v>
      </c>
      <c r="K176" s="86">
        <f>(H176+J176)/D176</f>
        <v>1.394570559326001</v>
      </c>
      <c r="L176" s="86">
        <f>I176/E176</f>
        <v>1.089208493270492</v>
      </c>
      <c r="M176" s="86">
        <f>K176-(I176/E176)+1</f>
        <v>1.305362066055509</v>
      </c>
      <c r="N176" s="84"/>
      <c r="O176" t="s" s="84">
        <v>294</v>
      </c>
      <c r="P176" s="87"/>
    </row>
    <row r="177" ht="11" customHeight="1">
      <c r="B177" t="s" s="3">
        <v>299</v>
      </c>
      <c r="C177" s="6">
        <v>41200</v>
      </c>
      <c r="D177" s="3">
        <v>29.57</v>
      </c>
      <c r="E177" s="3">
        <v>1457.34</v>
      </c>
      <c r="F177" s="4"/>
      <c r="G177" s="6">
        <v>41382</v>
      </c>
      <c r="H177" s="7">
        <v>26.54</v>
      </c>
      <c r="I177" s="84">
        <v>1541.16</v>
      </c>
      <c r="J177" s="85"/>
      <c r="K177" s="86">
        <f>(H177+J177)/D177</f>
        <v>0.8975312817044301</v>
      </c>
      <c r="L177" s="86">
        <f>I177/E177</f>
        <v>1.057515747869406</v>
      </c>
      <c r="M177" s="86">
        <f>K177-(I177/E177)+1</f>
        <v>0.8400155338350241</v>
      </c>
      <c r="N177" s="84"/>
      <c r="O177" t="s" s="84">
        <v>294</v>
      </c>
      <c r="P177" s="87"/>
    </row>
    <row r="178" ht="11" customHeight="1">
      <c r="B178" t="s" s="3">
        <v>300</v>
      </c>
      <c r="C178" s="6">
        <v>41208</v>
      </c>
      <c r="D178" s="3">
        <v>16.75</v>
      </c>
      <c r="E178" s="3">
        <v>1411.94</v>
      </c>
      <c r="F178" s="4"/>
      <c r="G178" s="6">
        <v>41390</v>
      </c>
      <c r="H178" s="7">
        <v>16.69</v>
      </c>
      <c r="I178" s="84">
        <v>1582.24</v>
      </c>
      <c r="J178" s="85"/>
      <c r="K178" s="86">
        <f>(H178+J178)/D178</f>
        <v>0.9964179104477613</v>
      </c>
      <c r="L178" s="86">
        <f>I178/E178</f>
        <v>1.120614190404691</v>
      </c>
      <c r="M178" s="86">
        <f>K178-(I178/E178)+1</f>
        <v>0.8758037200430699</v>
      </c>
      <c r="N178" s="84"/>
      <c r="O178" t="s" s="84">
        <v>154</v>
      </c>
      <c r="P178" s="87"/>
    </row>
    <row r="179" ht="11" customHeight="1">
      <c r="B179" t="s" s="3">
        <v>301</v>
      </c>
      <c r="C179" s="6">
        <v>41201</v>
      </c>
      <c r="D179" s="3">
        <v>24.37</v>
      </c>
      <c r="E179" s="3">
        <v>1433.19</v>
      </c>
      <c r="F179" s="4"/>
      <c r="G179" s="6">
        <v>41383</v>
      </c>
      <c r="H179" s="7">
        <v>28.11</v>
      </c>
      <c r="I179" s="84">
        <v>1555.25</v>
      </c>
      <c r="J179" s="85">
        <v>0.29</v>
      </c>
      <c r="K179" s="86">
        <f>(H179+J179)/D179</f>
        <v>1.165367254821502</v>
      </c>
      <c r="L179" s="86">
        <f>I179/E179</f>
        <v>1.085166656200504</v>
      </c>
      <c r="M179" s="86">
        <f>K179-(I179/E179)+1</f>
        <v>1.080200598620998</v>
      </c>
      <c r="N179" s="84"/>
      <c r="O179" t="s" s="84">
        <v>154</v>
      </c>
      <c r="P179" s="87"/>
    </row>
    <row r="180" ht="11" customHeight="1">
      <c r="B180" t="s" s="3">
        <v>302</v>
      </c>
      <c r="C180" s="6">
        <v>41208</v>
      </c>
      <c r="D180" s="3">
        <v>27.2</v>
      </c>
      <c r="E180" s="3">
        <v>1411.94</v>
      </c>
      <c r="F180" s="4"/>
      <c r="G180" s="6">
        <v>41390</v>
      </c>
      <c r="H180" s="7">
        <v>38.7</v>
      </c>
      <c r="I180" s="84">
        <v>1582.24</v>
      </c>
      <c r="J180" s="85">
        <v>0.18</v>
      </c>
      <c r="K180" s="86">
        <f>(H180+J180)/D180</f>
        <v>1.429411764705882</v>
      </c>
      <c r="L180" s="86">
        <f>I180/E180</f>
        <v>1.120614190404691</v>
      </c>
      <c r="M180" s="86">
        <f>K180-(I180/E180)+1</f>
        <v>1.308797574301191</v>
      </c>
      <c r="N180" s="84"/>
      <c r="O180" t="s" s="84">
        <v>154</v>
      </c>
      <c r="P180" s="87"/>
    </row>
    <row r="181" ht="11" customHeight="1">
      <c r="B181" t="s" s="3">
        <v>303</v>
      </c>
      <c r="C181" s="6">
        <v>41215</v>
      </c>
      <c r="D181" s="3">
        <v>22.35</v>
      </c>
      <c r="E181" s="3">
        <v>1414.2</v>
      </c>
      <c r="F181" s="4"/>
      <c r="G181" s="6">
        <v>41396</v>
      </c>
      <c r="H181" s="7">
        <v>32.4</v>
      </c>
      <c r="I181" s="84">
        <v>1597.59</v>
      </c>
      <c r="J181" s="85">
        <f>0.22+0.39</f>
        <v>0.61</v>
      </c>
      <c r="K181" s="86">
        <f>(H181+J181)/D181</f>
        <v>1.476957494407159</v>
      </c>
      <c r="L181" s="86">
        <f>I181/E181</f>
        <v>1.129677556215528</v>
      </c>
      <c r="M181" s="86">
        <f>K181-(I181/E181)+1</f>
        <v>1.34727993819163</v>
      </c>
      <c r="N181" s="84"/>
      <c r="O181" t="s" s="84">
        <v>154</v>
      </c>
      <c r="P181" s="87"/>
    </row>
    <row r="182" ht="11" customHeight="1">
      <c r="B182" t="s" s="3">
        <v>304</v>
      </c>
      <c r="C182" s="6">
        <v>41233</v>
      </c>
      <c r="D182" s="3">
        <v>18.4</v>
      </c>
      <c r="E182" s="3">
        <v>1387.81</v>
      </c>
      <c r="F182" s="4"/>
      <c r="G182" s="6">
        <v>41414</v>
      </c>
      <c r="H182" s="7">
        <v>24.89</v>
      </c>
      <c r="I182" s="84">
        <v>1666.29</v>
      </c>
      <c r="J182" s="85">
        <f>1.48+0.57</f>
        <v>2.05</v>
      </c>
      <c r="K182" s="86">
        <f>(H182+J182)/D182</f>
        <v>1.464130434782609</v>
      </c>
      <c r="L182" s="86">
        <f>I182/E182</f>
        <v>1.200661473832873</v>
      </c>
      <c r="M182" s="86">
        <f>K182-(I182/E182)+1</f>
        <v>1.263468960949736</v>
      </c>
      <c r="N182" s="84"/>
      <c r="O182" t="s" s="84">
        <v>154</v>
      </c>
      <c r="P182" s="87"/>
    </row>
    <row r="183" ht="11" customHeight="1">
      <c r="B183" t="s" s="3">
        <v>305</v>
      </c>
      <c r="C183" s="6">
        <v>41253</v>
      </c>
      <c r="D183" s="3">
        <v>35</v>
      </c>
      <c r="E183" s="3">
        <v>1418.55</v>
      </c>
      <c r="F183" s="4"/>
      <c r="G183" s="6">
        <v>41435</v>
      </c>
      <c r="H183" s="7">
        <v>43.92</v>
      </c>
      <c r="I183" s="84">
        <v>1642.81</v>
      </c>
      <c r="J183" s="85">
        <v>0.8</v>
      </c>
      <c r="K183" s="86">
        <f>(H183+J183)/D183</f>
        <v>1.277714285714286</v>
      </c>
      <c r="L183" s="86">
        <f>I183/E183</f>
        <v>1.158091008424095</v>
      </c>
      <c r="M183" s="86">
        <f>K183-(I183/E183)+1</f>
        <v>1.119623277290191</v>
      </c>
      <c r="N183" s="84"/>
      <c r="O183" t="s" s="84">
        <v>294</v>
      </c>
      <c r="P183" s="87"/>
    </row>
    <row r="184" ht="11" customHeight="1">
      <c r="B184" t="s" s="3">
        <v>306</v>
      </c>
      <c r="C184" s="6">
        <v>41257</v>
      </c>
      <c r="D184" s="3">
        <v>18.24</v>
      </c>
      <c r="E184" s="3">
        <v>1413.58</v>
      </c>
      <c r="F184" s="4"/>
      <c r="G184" s="6">
        <v>41439</v>
      </c>
      <c r="H184" s="7">
        <v>17.2</v>
      </c>
      <c r="I184" s="84">
        <v>1626.73</v>
      </c>
      <c r="J184" s="85">
        <v>0.01</v>
      </c>
      <c r="K184" s="86">
        <f>(H184+J184)/D184</f>
        <v>0.9435307017543861</v>
      </c>
      <c r="L184" s="86">
        <f>I184/E184</f>
        <v>1.150787362582945</v>
      </c>
      <c r="M184" s="86">
        <f>K184-(I184/E184)+1</f>
        <v>0.7927433391714407</v>
      </c>
      <c r="N184" s="84"/>
      <c r="O184" t="s" s="84">
        <v>154</v>
      </c>
      <c r="P184" s="87"/>
    </row>
    <row r="185" ht="11" customHeight="1">
      <c r="B185" t="s" s="3">
        <v>307</v>
      </c>
      <c r="C185" s="6">
        <v>41260</v>
      </c>
      <c r="D185" s="3">
        <v>14.95</v>
      </c>
      <c r="E185" s="3">
        <v>1430.36</v>
      </c>
      <c r="F185" s="4"/>
      <c r="G185" s="6">
        <v>41442</v>
      </c>
      <c r="H185" s="7">
        <v>16.9</v>
      </c>
      <c r="I185" s="84">
        <v>1639.04</v>
      </c>
      <c r="J185" s="85"/>
      <c r="K185" s="86">
        <f>(H185+J185)/D185</f>
        <v>1.130434782608696</v>
      </c>
      <c r="L185" s="86">
        <f>I185/E185</f>
        <v>1.145893341536397</v>
      </c>
      <c r="M185" s="86">
        <f>K185-(I185/E185)+1</f>
        <v>0.984541441072299</v>
      </c>
      <c r="N185" s="84"/>
      <c r="O185" t="s" s="84">
        <v>294</v>
      </c>
      <c r="P185" s="87"/>
    </row>
    <row r="186" ht="11" customHeight="1">
      <c r="B186" t="s" s="3">
        <v>308</v>
      </c>
      <c r="C186" s="6">
        <v>41284</v>
      </c>
      <c r="D186" s="3">
        <v>108.71</v>
      </c>
      <c r="E186" s="3">
        <v>1472.12</v>
      </c>
      <c r="F186" s="4"/>
      <c r="G186" s="6">
        <v>41465</v>
      </c>
      <c r="H186" s="3">
        <v>135.06</v>
      </c>
      <c r="I186" s="84">
        <v>1652.62</v>
      </c>
      <c r="J186" s="84"/>
      <c r="K186" s="86">
        <f>(H186+J186)/D186</f>
        <v>1.242388004783369</v>
      </c>
      <c r="L186" s="86">
        <f>I186/E186</f>
        <v>1.122612287041817</v>
      </c>
      <c r="M186" s="86">
        <f>K186-(I186/E186)+1</f>
        <v>1.119775717741551</v>
      </c>
      <c r="N186" s="84"/>
      <c r="O186" t="s" s="84">
        <v>294</v>
      </c>
      <c r="P186" s="87"/>
    </row>
    <row r="187" ht="11" customHeight="1">
      <c r="B187" t="s" s="3">
        <v>309</v>
      </c>
      <c r="C187" s="6">
        <v>41292</v>
      </c>
      <c r="D187" s="3">
        <v>18.25</v>
      </c>
      <c r="E187" s="3">
        <v>1485.98</v>
      </c>
      <c r="F187" s="4"/>
      <c r="G187" s="6">
        <v>41473</v>
      </c>
      <c r="H187" s="7">
        <v>22.01</v>
      </c>
      <c r="I187" s="84">
        <v>1689.37</v>
      </c>
      <c r="J187" s="85">
        <v>0.31</v>
      </c>
      <c r="K187" s="86">
        <f>(H187+J187)/D187</f>
        <v>1.223013698630137</v>
      </c>
      <c r="L187" s="86">
        <f>I187/E187</f>
        <v>1.136872636240057</v>
      </c>
      <c r="M187" s="86">
        <f>K187-(I187/E187)+1</f>
        <v>1.08614106239008</v>
      </c>
      <c r="N187" s="84"/>
      <c r="O187" t="s" s="84">
        <v>294</v>
      </c>
      <c r="P187" s="87"/>
    </row>
    <row r="188" ht="11" customHeight="1">
      <c r="B188" t="s" s="3">
        <v>310</v>
      </c>
      <c r="C188" s="6">
        <v>41292</v>
      </c>
      <c r="D188" s="3">
        <v>21.2</v>
      </c>
      <c r="E188" s="3">
        <v>1485.98</v>
      </c>
      <c r="F188" s="4"/>
      <c r="G188" s="6">
        <v>41473</v>
      </c>
      <c r="H188" s="7">
        <v>21.72</v>
      </c>
      <c r="I188" s="84">
        <v>1689.37</v>
      </c>
      <c r="J188" s="85">
        <v>0.32</v>
      </c>
      <c r="K188" s="86">
        <f>(H188+J188)/D188</f>
        <v>1.039622641509434</v>
      </c>
      <c r="L188" s="86">
        <f>I188/E188</f>
        <v>1.136872636240057</v>
      </c>
      <c r="M188" s="86">
        <f>K188-(I188/E188)+1</f>
        <v>0.9027500052693771</v>
      </c>
      <c r="N188" s="84"/>
      <c r="O188" t="s" s="84">
        <v>154</v>
      </c>
      <c r="P188" s="87"/>
    </row>
    <row r="189" ht="11" customHeight="1">
      <c r="B189" t="s" s="3">
        <v>311</v>
      </c>
      <c r="C189" s="6">
        <v>41296</v>
      </c>
      <c r="D189" s="3">
        <v>18.05</v>
      </c>
      <c r="E189" s="3">
        <v>1492.56</v>
      </c>
      <c r="F189" s="4"/>
      <c r="G189" s="6">
        <v>41477</v>
      </c>
      <c r="H189" s="7">
        <v>25.54</v>
      </c>
      <c r="I189" s="84">
        <v>1695.53</v>
      </c>
      <c r="J189" s="85"/>
      <c r="K189" s="86">
        <f>(H189+J189)/D189</f>
        <v>1.414958448753463</v>
      </c>
      <c r="L189" s="86">
        <f>I189/E189</f>
        <v>1.135987832984939</v>
      </c>
      <c r="M189" s="86">
        <f>K189-(I189/E189)+1</f>
        <v>1.278970615768524</v>
      </c>
      <c r="N189" s="84"/>
      <c r="O189" t="s" s="84">
        <v>294</v>
      </c>
      <c r="P189" s="87"/>
    </row>
    <row r="190" ht="11" customHeight="1">
      <c r="B190" t="s" s="3">
        <v>312</v>
      </c>
      <c r="C190" s="6">
        <v>41306</v>
      </c>
      <c r="D190" s="3">
        <v>31.01</v>
      </c>
      <c r="E190" s="3">
        <v>1513.17</v>
      </c>
      <c r="F190" s="4"/>
      <c r="G190" s="6">
        <v>41487</v>
      </c>
      <c r="H190" s="7">
        <v>30.16</v>
      </c>
      <c r="I190" s="84">
        <v>1706.87</v>
      </c>
      <c r="J190" s="85">
        <f>0.065*2</f>
        <v>0.13</v>
      </c>
      <c r="K190" s="86">
        <f>(H190+J190)/D190</f>
        <v>0.9767816833279587</v>
      </c>
      <c r="L190" s="86">
        <f>I190/E190</f>
        <v>1.128009410707323</v>
      </c>
      <c r="M190" s="86">
        <f>K190-(I190/E190)+1</f>
        <v>0.8487722726206358</v>
      </c>
      <c r="N190" s="84"/>
      <c r="O190" t="s" s="84">
        <v>154</v>
      </c>
      <c r="P190" s="87"/>
    </row>
    <row r="191" ht="11" customHeight="1">
      <c r="B191" t="s" s="3">
        <v>313</v>
      </c>
      <c r="C191" s="6">
        <v>41320</v>
      </c>
      <c r="D191" s="3">
        <v>8.75</v>
      </c>
      <c r="E191" s="3">
        <v>1519.79</v>
      </c>
      <c r="F191" s="4"/>
      <c r="G191" s="6">
        <v>41501</v>
      </c>
      <c r="H191" s="7">
        <v>9.34</v>
      </c>
      <c r="I191" s="84">
        <v>1661.32</v>
      </c>
      <c r="J191" s="85"/>
      <c r="K191" s="86">
        <f>(H191+J191)/D191</f>
        <v>1.067428571428571</v>
      </c>
      <c r="L191" s="86">
        <f>I191/E191</f>
        <v>1.093124708018871</v>
      </c>
      <c r="M191" s="86">
        <f>K191-(I191/E191)+1</f>
        <v>0.9743038634097003</v>
      </c>
      <c r="N191" s="84"/>
      <c r="O191" t="s" s="84">
        <v>294</v>
      </c>
      <c r="P191" s="87"/>
    </row>
    <row r="192" ht="11" customHeight="1">
      <c r="B192" t="s" s="3">
        <v>314</v>
      </c>
      <c r="C192" s="6">
        <v>41365</v>
      </c>
      <c r="D192" s="3">
        <v>21.7</v>
      </c>
      <c r="E192" s="3">
        <v>1562.17</v>
      </c>
      <c r="F192" s="4"/>
      <c r="G192" s="6">
        <v>41548</v>
      </c>
      <c r="H192" s="7">
        <v>19.27</v>
      </c>
      <c r="I192" s="84">
        <v>1695</v>
      </c>
      <c r="J192" s="85">
        <v>0.38</v>
      </c>
      <c r="K192" s="86">
        <f>(H192+J192)/D192</f>
        <v>0.9055299539170506</v>
      </c>
      <c r="L192" s="86">
        <f>I192/E192</f>
        <v>1.085029158158203</v>
      </c>
      <c r="M192" s="86">
        <f>K192-(I192/E192)+1</f>
        <v>0.8205007957588476</v>
      </c>
      <c r="N192" s="84"/>
      <c r="O192" t="s" s="84">
        <v>294</v>
      </c>
      <c r="P192" s="87"/>
    </row>
    <row r="193" ht="11" customHeight="1">
      <c r="B193" t="s" s="3">
        <v>315</v>
      </c>
      <c r="C193" s="6">
        <v>41381</v>
      </c>
      <c r="D193" s="3">
        <v>28.49</v>
      </c>
      <c r="E193" s="3">
        <v>1552.01</v>
      </c>
      <c r="F193" s="4"/>
      <c r="G193" s="6">
        <v>41564</v>
      </c>
      <c r="H193" s="7">
        <v>30.56</v>
      </c>
      <c r="I193" s="84">
        <v>1733.15</v>
      </c>
      <c r="J193" s="85">
        <v>0.06</v>
      </c>
      <c r="K193" s="86">
        <f>(H193+J193)/D193</f>
        <v>1.074763074763075</v>
      </c>
      <c r="L193" s="86">
        <f>I193/E193</f>
        <v>1.116713165507954</v>
      </c>
      <c r="M193" s="86">
        <f>K193-(I193/E193)+1</f>
        <v>0.9580499092551205</v>
      </c>
      <c r="N193" s="88"/>
      <c r="O193" t="s" s="84">
        <v>294</v>
      </c>
      <c r="P193" s="89"/>
    </row>
    <row r="194" ht="11" customHeight="1">
      <c r="B194" t="s" s="3">
        <v>238</v>
      </c>
      <c r="C194" s="6">
        <v>41383</v>
      </c>
      <c r="D194" s="3">
        <v>26.01</v>
      </c>
      <c r="E194" s="3">
        <v>1555.25</v>
      </c>
      <c r="F194" s="4"/>
      <c r="G194" s="6">
        <v>41568</v>
      </c>
      <c r="H194" s="7">
        <v>22.9</v>
      </c>
      <c r="I194" s="84">
        <v>1744.66</v>
      </c>
      <c r="J194" s="85"/>
      <c r="K194" s="86">
        <f>(H194+J194)/D194</f>
        <v>0.8804306036139945</v>
      </c>
      <c r="L194" s="86">
        <f>I194/E194</f>
        <v>1.12178749397203</v>
      </c>
      <c r="M194" s="86">
        <f>K194-(I194/E194)+1</f>
        <v>0.7586431096419642</v>
      </c>
      <c r="N194" s="88"/>
      <c r="O194" t="s" s="84">
        <v>154</v>
      </c>
      <c r="P194" s="89"/>
    </row>
    <row r="195" ht="11" customHeight="1">
      <c r="B195" t="s" s="3">
        <v>119</v>
      </c>
      <c r="C195" s="6">
        <v>41396</v>
      </c>
      <c r="D195" s="3">
        <v>20.84</v>
      </c>
      <c r="E195" s="3">
        <v>1597.59</v>
      </c>
      <c r="F195" s="4"/>
      <c r="G195" s="6">
        <v>41579</v>
      </c>
      <c r="H195" s="7">
        <v>30.96</v>
      </c>
      <c r="I195" s="84">
        <v>1761.64</v>
      </c>
      <c r="J195" s="85">
        <v>0.01</v>
      </c>
      <c r="K195" s="86">
        <f>(H195+J195)/D195</f>
        <v>1.486084452975048</v>
      </c>
      <c r="L195" s="86">
        <f>I195/E195</f>
        <v>1.102685920668006</v>
      </c>
      <c r="M195" s="86">
        <f>K195-(I195/E195)+1</f>
        <v>1.383398532307042</v>
      </c>
      <c r="N195" s="88"/>
      <c r="O195" t="s" s="84">
        <v>154</v>
      </c>
      <c r="P195" s="89"/>
    </row>
    <row r="196" ht="11" customHeight="1">
      <c r="B196" t="s" s="3">
        <v>316</v>
      </c>
      <c r="C196" s="6">
        <v>41396</v>
      </c>
      <c r="D196" s="3">
        <v>6.76</v>
      </c>
      <c r="E196" s="3">
        <v>1597.59</v>
      </c>
      <c r="F196" s="4"/>
      <c r="G196" s="6">
        <v>41579</v>
      </c>
      <c r="H196" s="7">
        <v>6.6</v>
      </c>
      <c r="I196" s="84">
        <v>1761.64</v>
      </c>
      <c r="J196" s="85">
        <f>0.07+0.18</f>
        <v>0.25</v>
      </c>
      <c r="K196" s="86">
        <f>(H196+J196)/D196</f>
        <v>1.013313609467456</v>
      </c>
      <c r="L196" s="86">
        <f>I196/E196</f>
        <v>1.102685920668006</v>
      </c>
      <c r="M196" s="86">
        <f>K196-(I196/E196)+1</f>
        <v>0.9106276887994491</v>
      </c>
      <c r="N196" s="88"/>
      <c r="O196" t="s" s="84">
        <v>294</v>
      </c>
      <c r="P196" s="89"/>
    </row>
    <row r="197" ht="11" customHeight="1">
      <c r="B197" t="s" s="3">
        <v>317</v>
      </c>
      <c r="C197" s="6">
        <v>41444</v>
      </c>
      <c r="D197" s="3">
        <v>43.1</v>
      </c>
      <c r="E197" s="3">
        <v>1628.93</v>
      </c>
      <c r="F197" s="4"/>
      <c r="G197" s="6">
        <v>41627</v>
      </c>
      <c r="H197" s="7">
        <v>51.54</v>
      </c>
      <c r="I197" s="84">
        <v>1809.6</v>
      </c>
      <c r="J197" s="85"/>
      <c r="K197" s="86">
        <f>(H197+J197)/D197</f>
        <v>1.195823665893271</v>
      </c>
      <c r="L197" s="86">
        <f>I197/E197</f>
        <v>1.110913298914011</v>
      </c>
      <c r="M197" s="86">
        <f>K197-(I197/E197)+1</f>
        <v>1.084910366979261</v>
      </c>
      <c r="N197" s="88"/>
      <c r="O197" t="s" s="84">
        <v>294</v>
      </c>
      <c r="P197" s="89"/>
    </row>
    <row r="198" ht="11" customHeight="1">
      <c r="B198" t="s" s="3">
        <v>318</v>
      </c>
      <c r="C198" s="6">
        <v>41446</v>
      </c>
      <c r="D198" s="3">
        <v>15.62</v>
      </c>
      <c r="E198" s="3">
        <v>1592.43</v>
      </c>
      <c r="F198" s="4"/>
      <c r="G198" s="6">
        <v>41631</v>
      </c>
      <c r="H198" s="7">
        <v>17.9</v>
      </c>
      <c r="I198" s="84">
        <v>1827.99</v>
      </c>
      <c r="J198" s="85"/>
      <c r="K198" s="86">
        <f>(H198+J198)/D198</f>
        <v>1.145966709346991</v>
      </c>
      <c r="L198" s="86">
        <f>I198/E198</f>
        <v>1.147924869539006</v>
      </c>
      <c r="M198" s="86">
        <f>K198-(I198/E198)+1</f>
        <v>0.9980418398079847</v>
      </c>
      <c r="N198" s="88"/>
      <c r="O198" t="s" s="84">
        <v>294</v>
      </c>
      <c r="P198" s="89"/>
    </row>
    <row r="199" ht="11" customHeight="1">
      <c r="B199" t="s" s="3">
        <v>319</v>
      </c>
      <c r="C199" s="6">
        <v>41478</v>
      </c>
      <c r="D199" s="3">
        <v>29.7</v>
      </c>
      <c r="E199" s="3">
        <v>1692.39</v>
      </c>
      <c r="F199" s="4"/>
      <c r="G199" s="6">
        <v>41631</v>
      </c>
      <c r="H199" s="7">
        <v>36.77</v>
      </c>
      <c r="I199" s="84">
        <v>1827.99</v>
      </c>
      <c r="J199" s="85"/>
      <c r="K199" s="86">
        <f>(H199+J199)/D199</f>
        <v>1.238047138047138</v>
      </c>
      <c r="L199" s="86">
        <f>I199/E199</f>
        <v>1.080123375817631</v>
      </c>
      <c r="M199" s="86">
        <f>K199-(I199/E199)+1</f>
        <v>1.157923762229508</v>
      </c>
      <c r="N199" s="88"/>
      <c r="O199" t="s" s="84">
        <v>154</v>
      </c>
      <c r="P199" s="89"/>
    </row>
    <row r="200" ht="11" customHeight="1">
      <c r="B200" t="s" s="3">
        <v>320</v>
      </c>
      <c r="C200" s="6">
        <v>41480</v>
      </c>
      <c r="D200" s="3">
        <v>6.15</v>
      </c>
      <c r="E200" s="3">
        <v>1690.25</v>
      </c>
      <c r="F200" s="4"/>
      <c r="G200" s="6">
        <v>41634</v>
      </c>
      <c r="H200" s="7">
        <v>7.74</v>
      </c>
      <c r="I200" s="84">
        <v>1842.02</v>
      </c>
      <c r="J200" s="85"/>
      <c r="K200" s="86">
        <f>(H200+J200)/D200</f>
        <v>1.258536585365854</v>
      </c>
      <c r="L200" s="86">
        <f>I200/E200</f>
        <v>1.089791450968792</v>
      </c>
      <c r="M200" s="86">
        <f>K200-(I200/E200)+1</f>
        <v>1.168745134397062</v>
      </c>
      <c r="N200" s="88"/>
      <c r="O200" t="s" s="84">
        <v>294</v>
      </c>
      <c r="P200" s="89"/>
    </row>
    <row r="201" ht="11" customHeight="1">
      <c r="B201" t="s" s="3">
        <v>321</v>
      </c>
      <c r="C201" s="6">
        <v>41495</v>
      </c>
      <c r="D201" s="3">
        <v>22.25</v>
      </c>
      <c r="E201" s="3">
        <v>1691.42</v>
      </c>
      <c r="F201" s="4"/>
      <c r="G201" s="6">
        <v>41680</v>
      </c>
      <c r="H201" s="7">
        <v>23.98</v>
      </c>
      <c r="I201" s="84">
        <v>1799.84</v>
      </c>
      <c r="J201" s="85">
        <f>0.13+0.26</f>
        <v>0.39</v>
      </c>
      <c r="K201" s="86">
        <f>(H201+J201)/D201</f>
        <v>1.095280898876404</v>
      </c>
      <c r="L201" s="86">
        <f>I201/E201</f>
        <v>1.064099986993177</v>
      </c>
      <c r="M201" s="86">
        <f>K201-(I201/E201)+1</f>
        <v>1.031180911883227</v>
      </c>
      <c r="N201" s="88"/>
      <c r="O201" t="s" s="84">
        <v>154</v>
      </c>
      <c r="P201" s="89"/>
    </row>
    <row r="202" ht="11" customHeight="1">
      <c r="B202" t="s" s="3">
        <v>322</v>
      </c>
      <c r="C202" s="6">
        <v>41520</v>
      </c>
      <c r="D202" s="3">
        <v>37.51</v>
      </c>
      <c r="E202" s="3">
        <v>1639.77</v>
      </c>
      <c r="F202" s="4"/>
      <c r="G202" s="6">
        <v>41701</v>
      </c>
      <c r="H202" s="7">
        <v>40</v>
      </c>
      <c r="I202" s="84">
        <v>1845.73</v>
      </c>
      <c r="J202" s="85"/>
      <c r="K202" s="86">
        <f>(H202+J202)/D202</f>
        <v>1.066382298053852</v>
      </c>
      <c r="L202" s="86">
        <f>I202/E202</f>
        <v>1.125602980905859</v>
      </c>
      <c r="M202" s="86">
        <f>K202-(I202/E202)+1</f>
        <v>0.9407793171479937</v>
      </c>
      <c r="N202" s="88"/>
      <c r="O202" t="s" s="84">
        <v>294</v>
      </c>
      <c r="P202" s="89"/>
    </row>
    <row r="203" ht="11" customHeight="1">
      <c r="B203" t="s" s="3">
        <v>323</v>
      </c>
      <c r="C203" s="6">
        <v>41533</v>
      </c>
      <c r="D203" s="3">
        <v>44.48</v>
      </c>
      <c r="E203" s="3">
        <v>1697.6</v>
      </c>
      <c r="F203" s="4"/>
      <c r="G203" s="6">
        <v>41715</v>
      </c>
      <c r="H203" s="7">
        <v>42.49</v>
      </c>
      <c r="I203" s="84">
        <v>1858.83</v>
      </c>
      <c r="J203" s="85">
        <v>0.64</v>
      </c>
      <c r="K203" s="86">
        <f>(H203+J203)/D203</f>
        <v>0.9696492805755397</v>
      </c>
      <c r="L203" s="86">
        <f>I203/E203</f>
        <v>1.094975259189444</v>
      </c>
      <c r="M203" s="86">
        <f>K203-(I203/E203)+1</f>
        <v>0.8746740213860957</v>
      </c>
      <c r="N203" s="88"/>
      <c r="O203" t="s" s="84">
        <v>294</v>
      </c>
      <c r="P203" s="89"/>
    </row>
    <row r="204" ht="11" customHeight="1">
      <c r="B204" t="s" s="3">
        <v>324</v>
      </c>
      <c r="C204" s="6">
        <v>41543</v>
      </c>
      <c r="D204" s="3">
        <v>12.31</v>
      </c>
      <c r="E204" s="3">
        <v>1698.67</v>
      </c>
      <c r="F204" s="4"/>
      <c r="G204" s="6">
        <v>41724</v>
      </c>
      <c r="H204" s="7">
        <v>7.11</v>
      </c>
      <c r="I204" s="84">
        <v>1852.56</v>
      </c>
      <c r="J204" s="85"/>
      <c r="K204" s="86">
        <f>(H204+J204)/D204</f>
        <v>0.5775792038992689</v>
      </c>
      <c r="L204" s="86">
        <f>I204/E204</f>
        <v>1.090594406211919</v>
      </c>
      <c r="M204" s="86">
        <f>K204-(I204/E204)+1</f>
        <v>0.4869847976873503</v>
      </c>
      <c r="N204" s="84"/>
      <c r="O204" t="s" s="84">
        <v>154</v>
      </c>
      <c r="P204" s="87"/>
    </row>
    <row r="205" ht="11" customHeight="1">
      <c r="B205" t="s" s="3">
        <v>325</v>
      </c>
      <c r="C205" s="6">
        <v>41557</v>
      </c>
      <c r="D205" s="3">
        <v>35</v>
      </c>
      <c r="E205" s="3">
        <v>1692.56</v>
      </c>
      <c r="F205" s="4"/>
      <c r="G205" s="6">
        <v>41739</v>
      </c>
      <c r="H205" s="7">
        <v>31.36</v>
      </c>
      <c r="I205" s="84">
        <v>1833.08</v>
      </c>
      <c r="J205" s="85"/>
      <c r="K205" s="86">
        <f>(H205+J205)/D205</f>
        <v>0.896</v>
      </c>
      <c r="L205" s="86">
        <f>I205/E205</f>
        <v>1.083022167604103</v>
      </c>
      <c r="M205" s="86">
        <f>K205-(I205/E205)+1</f>
        <v>0.8129778323958973</v>
      </c>
      <c r="N205" s="88"/>
      <c r="O205" t="s" s="84">
        <v>294</v>
      </c>
      <c r="P205" s="89"/>
    </row>
    <row r="206" ht="11" customHeight="1">
      <c r="B206" t="s" s="3">
        <v>326</v>
      </c>
      <c r="C206" s="6">
        <v>41561</v>
      </c>
      <c r="D206" s="3">
        <v>41.2</v>
      </c>
      <c r="E206" s="3">
        <v>1710.14</v>
      </c>
      <c r="F206" s="4"/>
      <c r="G206" s="6">
        <v>41743</v>
      </c>
      <c r="H206" s="7">
        <v>36</v>
      </c>
      <c r="I206" s="84">
        <v>1830.61</v>
      </c>
      <c r="J206" s="85">
        <v>11.85</v>
      </c>
      <c r="K206" s="86">
        <f>(H206+J206)/D206</f>
        <v>1.161407766990291</v>
      </c>
      <c r="L206" s="86">
        <f>I206/E206</f>
        <v>1.070444525009648</v>
      </c>
      <c r="M206" s="86">
        <f>K206-(I206/E206)+1</f>
        <v>1.090963241980643</v>
      </c>
      <c r="N206" s="88"/>
      <c r="O206" t="s" s="84">
        <v>294</v>
      </c>
      <c r="P206" s="89"/>
    </row>
    <row r="207" ht="11" customHeight="1">
      <c r="B207" t="s" s="3">
        <v>327</v>
      </c>
      <c r="C207" s="6">
        <v>41557</v>
      </c>
      <c r="D207" s="3">
        <v>24.1</v>
      </c>
      <c r="E207" s="3">
        <v>1692.56</v>
      </c>
      <c r="F207" s="4"/>
      <c r="G207" s="6">
        <v>41739</v>
      </c>
      <c r="H207" s="7">
        <v>31</v>
      </c>
      <c r="I207" s="84">
        <v>1833.08</v>
      </c>
      <c r="J207" s="85">
        <v>0.24</v>
      </c>
      <c r="K207" s="86">
        <f>(H207+J207)/D207</f>
        <v>1.296265560165975</v>
      </c>
      <c r="L207" s="86">
        <f>I207/E207</f>
        <v>1.083022167604103</v>
      </c>
      <c r="M207" s="86">
        <f>K207-(I207/E207)+1</f>
        <v>1.213243392561872</v>
      </c>
      <c r="N207" s="88"/>
      <c r="O207" t="s" s="84">
        <v>154</v>
      </c>
      <c r="P207" s="89"/>
    </row>
    <row r="208" ht="11" customHeight="1">
      <c r="B208" t="s" s="3">
        <v>328</v>
      </c>
      <c r="C208" s="6">
        <v>41568</v>
      </c>
      <c r="D208" s="3">
        <v>6</v>
      </c>
      <c r="E208" s="3">
        <v>1744.66</v>
      </c>
      <c r="F208" s="4"/>
      <c r="G208" s="6">
        <v>41750</v>
      </c>
      <c r="H208" s="7">
        <v>9.5</v>
      </c>
      <c r="I208" s="84">
        <v>1871.89</v>
      </c>
      <c r="J208" s="85"/>
      <c r="K208" s="86">
        <f>(H208+J208)/D208</f>
        <v>1.583333333333333</v>
      </c>
      <c r="L208" s="86">
        <f>I208/E208</f>
        <v>1.072925383742391</v>
      </c>
      <c r="M208" s="86">
        <f>K208-(I208/E208)+1</f>
        <v>1.510407949590942</v>
      </c>
      <c r="N208" s="88"/>
      <c r="O208" t="s" s="84">
        <v>294</v>
      </c>
      <c r="P208" s="89"/>
    </row>
    <row r="209" ht="11" customHeight="1">
      <c r="B209" t="s" s="3">
        <v>329</v>
      </c>
      <c r="C209" s="6">
        <v>41585</v>
      </c>
      <c r="D209" s="3">
        <v>17.41</v>
      </c>
      <c r="E209" s="3">
        <v>1747.15</v>
      </c>
      <c r="F209" s="4"/>
      <c r="G209" s="6">
        <v>41766</v>
      </c>
      <c r="H209" s="7">
        <v>22</v>
      </c>
      <c r="I209" s="84">
        <v>1878.21</v>
      </c>
      <c r="J209" s="85">
        <v>0.48</v>
      </c>
      <c r="K209" s="86">
        <f>(H209+J209)/D209</f>
        <v>1.291211947156806</v>
      </c>
      <c r="L209" s="86">
        <f>I209/E209</f>
        <v>1.075013593566666</v>
      </c>
      <c r="M209" s="86">
        <f>K209-(I209/E209)+1</f>
        <v>1.216198353590141</v>
      </c>
      <c r="N209" s="88"/>
      <c r="O209" t="s" s="84">
        <v>154</v>
      </c>
      <c r="P209" s="89"/>
    </row>
    <row r="210" ht="11" customHeight="1">
      <c r="B210" t="s" s="3">
        <v>330</v>
      </c>
      <c r="C210" s="6">
        <v>41584</v>
      </c>
      <c r="D210" s="3">
        <v>20.04</v>
      </c>
      <c r="E210" s="3">
        <v>1770.49</v>
      </c>
      <c r="F210" s="4"/>
      <c r="G210" s="6">
        <v>41765</v>
      </c>
      <c r="H210" s="7">
        <v>15.35</v>
      </c>
      <c r="I210" s="84">
        <v>1867.72</v>
      </c>
      <c r="J210" s="85">
        <v>0.1</v>
      </c>
      <c r="K210" s="86">
        <f>(H210+J210)/D210</f>
        <v>0.7709580838323353</v>
      </c>
      <c r="L210" s="86">
        <f>I210/E210</f>
        <v>1.054917000378426</v>
      </c>
      <c r="M210" s="86">
        <f>K210-(I210/E210)+1</f>
        <v>0.716041083453909</v>
      </c>
      <c r="N210" s="88"/>
      <c r="O210" t="s" s="84">
        <v>294</v>
      </c>
      <c r="P210" s="89"/>
    </row>
    <row r="211" ht="11" customHeight="1">
      <c r="B211" t="s" s="3">
        <v>331</v>
      </c>
      <c r="C211" s="6">
        <v>41596</v>
      </c>
      <c r="D211" s="3">
        <v>48.48</v>
      </c>
      <c r="E211" s="3">
        <v>1791.53</v>
      </c>
      <c r="F211" s="4"/>
      <c r="G211" s="6">
        <v>41778</v>
      </c>
      <c r="H211" s="7">
        <v>50.21</v>
      </c>
      <c r="I211" s="84">
        <v>1885.08</v>
      </c>
      <c r="J211" s="85">
        <v>0.08</v>
      </c>
      <c r="K211" s="86">
        <f>(H211+J211)/D211</f>
        <v>1.03733498349835</v>
      </c>
      <c r="L211" s="86">
        <f>I211/E211</f>
        <v>1.052217936624003</v>
      </c>
      <c r="M211" s="86">
        <f>K211-(I211/E211)+1</f>
        <v>0.9851170468743469</v>
      </c>
      <c r="N211" s="88"/>
      <c r="O211" t="s" s="84">
        <v>294</v>
      </c>
      <c r="P211" s="89"/>
    </row>
    <row r="212" ht="11" customHeight="1">
      <c r="B212" t="s" s="3">
        <v>332</v>
      </c>
      <c r="C212" s="6">
        <v>41619</v>
      </c>
      <c r="D212" s="3">
        <v>28</v>
      </c>
      <c r="E212" s="3">
        <v>1782.22</v>
      </c>
      <c r="F212" s="4"/>
      <c r="G212" s="6">
        <v>41801</v>
      </c>
      <c r="H212" s="7">
        <v>43.86</v>
      </c>
      <c r="I212" s="84">
        <v>1943.89</v>
      </c>
      <c r="J212" s="85">
        <v>0.25</v>
      </c>
      <c r="K212" s="86">
        <f>(H212+J212)/D212</f>
        <v>1.575357142857143</v>
      </c>
      <c r="L212" s="86">
        <f>I212/E212</f>
        <v>1.090712706624323</v>
      </c>
      <c r="M212" s="86">
        <f>K212-(I212/E212)+1</f>
        <v>1.48464443623282</v>
      </c>
      <c r="N212" s="88"/>
      <c r="O212" t="s" s="84">
        <v>154</v>
      </c>
      <c r="P212" s="89"/>
    </row>
    <row r="213" ht="11" customHeight="1">
      <c r="B213" t="s" s="3">
        <v>333</v>
      </c>
      <c r="C213" s="6">
        <v>41662</v>
      </c>
      <c r="D213" s="3">
        <v>25.2</v>
      </c>
      <c r="E213" s="3">
        <v>1828.46</v>
      </c>
      <c r="F213" s="4"/>
      <c r="G213" s="6">
        <v>41843</v>
      </c>
      <c r="H213" s="7">
        <v>20</v>
      </c>
      <c r="I213" s="84">
        <v>1987.01</v>
      </c>
      <c r="J213" s="85">
        <v>0.15</v>
      </c>
      <c r="K213" s="86">
        <f>(H213+J213)/D213</f>
        <v>0.7996031746031745</v>
      </c>
      <c r="L213" s="86">
        <f>I213/E213</f>
        <v>1.086712315281712</v>
      </c>
      <c r="M213" s="86">
        <f>K213-(I213/E213)+1</f>
        <v>0.7128908593214621</v>
      </c>
      <c r="N213" s="88"/>
      <c r="O213" t="s" s="84">
        <v>154</v>
      </c>
      <c r="P213" s="89"/>
    </row>
    <row r="214" ht="11" customHeight="1">
      <c r="B214" t="s" s="3">
        <v>334</v>
      </c>
      <c r="C214" s="6">
        <v>41661</v>
      </c>
      <c r="D214" s="3">
        <v>28.5</v>
      </c>
      <c r="E214" s="3">
        <v>1844.86</v>
      </c>
      <c r="F214" s="4"/>
      <c r="G214" s="6">
        <v>41842</v>
      </c>
      <c r="H214" s="7">
        <v>25.89</v>
      </c>
      <c r="I214" s="84">
        <v>1983.53</v>
      </c>
      <c r="J214" s="85"/>
      <c r="K214" s="86">
        <f>(H214+J214)/D214</f>
        <v>0.908421052631579</v>
      </c>
      <c r="L214" s="86">
        <f>I214/E214</f>
        <v>1.075165595221318</v>
      </c>
      <c r="M214" s="86">
        <f>K214-(I214/E214)+1</f>
        <v>0.8332554574102613</v>
      </c>
      <c r="N214" s="88"/>
      <c r="O214" t="s" s="84">
        <v>294</v>
      </c>
      <c r="P214" s="89"/>
    </row>
    <row r="215" ht="11" customHeight="1">
      <c r="B215" t="s" s="3">
        <v>335</v>
      </c>
      <c r="C215" s="6">
        <v>41681</v>
      </c>
      <c r="D215" s="3">
        <v>1.85</v>
      </c>
      <c r="E215" s="3">
        <v>1819.75</v>
      </c>
      <c r="F215" s="4"/>
      <c r="G215" s="6">
        <v>41862</v>
      </c>
      <c r="H215" s="7">
        <v>1.16</v>
      </c>
      <c r="I215" s="84">
        <v>1936.92</v>
      </c>
      <c r="J215" s="85"/>
      <c r="K215" s="86">
        <f>(H215+J215)/D215</f>
        <v>0.627027027027027</v>
      </c>
      <c r="L215" s="86">
        <f>I215/E215</f>
        <v>1.06438796537986</v>
      </c>
      <c r="M215" s="86">
        <f>K215-(I215/E215)+1</f>
        <v>0.5626390616471671</v>
      </c>
      <c r="N215" s="88"/>
      <c r="O215" t="s" s="84">
        <v>294</v>
      </c>
      <c r="P215" s="89"/>
    </row>
    <row r="216" ht="11" customHeight="1">
      <c r="B216" t="s" s="3">
        <v>336</v>
      </c>
      <c r="C216" s="6">
        <v>41674</v>
      </c>
      <c r="D216" s="3">
        <v>10.5</v>
      </c>
      <c r="E216" s="3">
        <v>1755.2</v>
      </c>
      <c r="F216" s="4"/>
      <c r="G216" s="6">
        <v>41855</v>
      </c>
      <c r="H216" s="7">
        <v>15.32</v>
      </c>
      <c r="I216" s="84">
        <v>1938.99</v>
      </c>
      <c r="J216" s="85"/>
      <c r="K216" s="86">
        <f>(H216+J216)/D216</f>
        <v>1.459047619047619</v>
      </c>
      <c r="L216" s="86">
        <f>I216/E216</f>
        <v>1.104711713764813</v>
      </c>
      <c r="M216" s="86">
        <f>K216-(I216/E216)+1</f>
        <v>1.354335905282806</v>
      </c>
      <c r="N216" s="88"/>
      <c r="O216" t="s" s="84">
        <v>294</v>
      </c>
      <c r="P216" s="89"/>
    </row>
    <row r="217" ht="11" customHeight="1">
      <c r="B217" t="s" s="3">
        <v>337</v>
      </c>
      <c r="C217" s="6">
        <v>41680</v>
      </c>
      <c r="D217" s="3">
        <v>10.37</v>
      </c>
      <c r="E217" s="3">
        <v>1799.84</v>
      </c>
      <c r="F217" s="4"/>
      <c r="G217" s="6">
        <v>41862</v>
      </c>
      <c r="H217" s="7">
        <v>9.58</v>
      </c>
      <c r="I217" s="84">
        <v>1936.92</v>
      </c>
      <c r="J217" s="85"/>
      <c r="K217" s="86">
        <f>(H217+J217)/D217</f>
        <v>0.9238187078109933</v>
      </c>
      <c r="L217" s="86">
        <f>I217/E217</f>
        <v>1.076162325540048</v>
      </c>
      <c r="M217" s="86">
        <f>K217-(I217/E217)+1</f>
        <v>0.8476563822709452</v>
      </c>
      <c r="N217" s="88"/>
      <c r="O217" t="s" s="84">
        <v>294</v>
      </c>
      <c r="P217" s="89"/>
    </row>
    <row r="218" ht="11" customHeight="1">
      <c r="B218" t="s" s="3">
        <v>338</v>
      </c>
      <c r="C218" s="6">
        <v>41684</v>
      </c>
      <c r="D218" s="3">
        <v>28.69</v>
      </c>
      <c r="E218" s="3">
        <v>1838.63</v>
      </c>
      <c r="F218" s="4"/>
      <c r="G218" s="6">
        <v>41865</v>
      </c>
      <c r="H218" s="7">
        <v>32.03</v>
      </c>
      <c r="I218" s="84">
        <v>1955.18</v>
      </c>
      <c r="J218" s="85"/>
      <c r="K218" s="86">
        <f>(H218+J218)/D218</f>
        <v>1.116416869989543</v>
      </c>
      <c r="L218" s="86">
        <f>I218/E218</f>
        <v>1.063389588987453</v>
      </c>
      <c r="M218" s="86">
        <f>K218-(I218/E218)+1</f>
        <v>1.053027281002091</v>
      </c>
      <c r="N218" s="88"/>
      <c r="O218" t="s" s="84">
        <v>294</v>
      </c>
      <c r="P218" s="89"/>
    </row>
    <row r="219" ht="11" customHeight="1">
      <c r="B219" t="s" s="3">
        <v>339</v>
      </c>
      <c r="C219" s="4"/>
      <c r="D219" s="4"/>
      <c r="E219" s="4"/>
      <c r="F219" s="4"/>
      <c r="G219" s="4"/>
      <c r="H219" s="4"/>
      <c r="I219" s="88"/>
      <c r="J219" s="88"/>
      <c r="K219" s="88"/>
      <c r="L219" s="88"/>
      <c r="M219" s="88"/>
      <c r="N219" s="88"/>
      <c r="O219" s="88"/>
      <c r="P219" s="88"/>
    </row>
    <row r="220" ht="11" customHeight="1">
      <c r="B220" s="4"/>
      <c r="C220" s="6"/>
      <c r="D220" s="4"/>
      <c r="E220" s="4"/>
      <c r="F220" s="4"/>
      <c r="G220" s="6"/>
      <c r="H220" s="7"/>
      <c r="I220" s="84"/>
      <c r="J220" s="85"/>
      <c r="K220" s="84"/>
      <c r="L220" s="84"/>
      <c r="M220" s="84"/>
      <c r="N220" s="84"/>
      <c r="O220" s="84"/>
      <c r="P220" s="87"/>
    </row>
    <row r="221" ht="11" customHeight="1">
      <c r="B221" t="s" s="90">
        <v>340</v>
      </c>
      <c r="C221" s="6"/>
      <c r="D221" s="4"/>
      <c r="E221" s="4"/>
      <c r="F221" s="4"/>
      <c r="G221" s="6"/>
      <c r="H221" s="7"/>
      <c r="I221" s="84"/>
      <c r="J221" s="85"/>
      <c r="K221" s="84"/>
      <c r="L221" s="84"/>
      <c r="M221" s="84"/>
      <c r="N221" s="84"/>
      <c r="O221" s="84"/>
      <c r="P221" s="87"/>
    </row>
    <row r="222" ht="43.65" customHeight="1">
      <c r="B222" t="s" s="3">
        <v>341</v>
      </c>
      <c r="C222" s="6">
        <v>41260</v>
      </c>
      <c r="D222" s="3">
        <v>65</v>
      </c>
      <c r="E222" s="3">
        <v>1430.36</v>
      </c>
      <c r="F222" s="4"/>
      <c r="G222" s="6">
        <v>41442</v>
      </c>
      <c r="H222" s="7">
        <v>270</v>
      </c>
      <c r="I222" s="84">
        <v>1639.04</v>
      </c>
      <c r="J222" s="85"/>
      <c r="K222" s="86">
        <f>(H222+J222)/D222</f>
        <v>4.153846153846154</v>
      </c>
      <c r="L222" s="86">
        <f>I222/E222</f>
        <v>1.145893341536397</v>
      </c>
      <c r="M222" s="86">
        <f>K222-(I222/E222)+1</f>
        <v>4.007952812309758</v>
      </c>
      <c r="N222" s="84"/>
      <c r="O222" t="s" s="84">
        <v>294</v>
      </c>
      <c r="P222" t="s" s="87">
        <v>342</v>
      </c>
    </row>
    <row r="223" ht="11.5" customHeight="1">
      <c r="B223" s="4"/>
      <c r="C223" s="6"/>
      <c r="D223" s="4"/>
      <c r="E223" s="4"/>
      <c r="F223" s="4"/>
      <c r="G223" s="6"/>
      <c r="H223" s="7"/>
      <c r="I223" s="91"/>
      <c r="J223" s="92"/>
      <c r="K223" s="91"/>
      <c r="L223" s="91"/>
      <c r="M223" s="91"/>
      <c r="N223" s="91"/>
      <c r="O223" s="91"/>
      <c r="P223" s="93"/>
    </row>
    <row r="224" ht="12" customHeight="1">
      <c r="B224" s="4"/>
      <c r="C224" s="6"/>
      <c r="D224" s="4"/>
      <c r="E224" s="4"/>
      <c r="F224" s="4"/>
      <c r="G224" s="6"/>
      <c r="H224" s="94"/>
      <c r="I224" t="s" s="60">
        <v>343</v>
      </c>
      <c r="J224" s="95"/>
      <c r="K224" s="96">
        <f>PRODUCT(K5:K218)^(1/COUNT(K5:K218))-1</f>
        <v>0.03051017681407764</v>
      </c>
      <c r="L224" s="96">
        <f>PRODUCT(L5:L218)^(1/COUNT(L5:L218))-1</f>
        <v>0.01198499456213797</v>
      </c>
      <c r="M224" s="96">
        <f>PRODUCT(M5:M218)^(1/COUNT(M5:M218))-1</f>
        <v>0.02711922335104555</v>
      </c>
      <c r="N224" s="97"/>
      <c r="O224" s="61"/>
      <c r="P224" s="98"/>
    </row>
    <row r="225" ht="12" customHeight="1">
      <c r="B225" s="4"/>
      <c r="C225" s="6"/>
      <c r="D225" s="4"/>
      <c r="E225" s="4"/>
      <c r="F225" s="4"/>
      <c r="G225" s="6"/>
      <c r="H225" s="94"/>
      <c r="I225" t="s" s="35">
        <v>132</v>
      </c>
      <c r="J225" s="7"/>
      <c r="K225" s="63">
        <f>(1+K224)^2-1</f>
        <v>0.06195122451738166</v>
      </c>
      <c r="L225" s="63">
        <f>(1+L224)^2-1</f>
        <v>0.02411362921893034</v>
      </c>
      <c r="M225" s="63">
        <f>(1+M224)^2-1</f>
        <v>0.05497389897725502</v>
      </c>
      <c r="N225" s="3"/>
      <c r="O225" s="4"/>
      <c r="P225" s="66"/>
    </row>
    <row r="226" ht="12" customHeight="1">
      <c r="B226" s="4"/>
      <c r="C226" s="6"/>
      <c r="D226" s="4"/>
      <c r="E226" s="4"/>
      <c r="F226" s="4"/>
      <c r="G226" s="6"/>
      <c r="H226" s="94"/>
      <c r="I226" t="s" s="40">
        <v>344</v>
      </c>
      <c r="J226" s="99"/>
      <c r="K226" s="42">
        <f>STDEV(K5:K218)</f>
        <v>0.4323746989138215</v>
      </c>
      <c r="L226" s="42">
        <f>STDEV(L5:L218)</f>
        <v>0.1365448594763838</v>
      </c>
      <c r="M226" s="43"/>
      <c r="N226" s="43"/>
      <c r="O226" s="43"/>
      <c r="P226" s="100"/>
    </row>
  </sheetData>
  <pageMargins left="0.75" right="0.75" top="1" bottom="1" header="0.5" footer="0.5"/>
  <pageSetup firstPageNumber="1" fitToHeight="1" fitToWidth="1" scale="67" useFirstPageNumber="0" orientation="portrait" pageOrder="downThenOver"/>
  <headerFooter>
    <oddFooter>&amp;L&amp;"Helvetica,Regular"&amp;11&amp;K000000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